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192.168.0.222\Arquivos\Processos Licitatórios\Licitações\2023\01 - Pregão Presencial\P.P. 008-2023 Terceirização\"/>
    </mc:Choice>
  </mc:AlternateContent>
  <xr:revisionPtr revIDLastSave="0" documentId="13_ncr:1_{37EF125A-FE5B-45E1-84B0-E5BF597E35C3}" xr6:coauthVersionLast="47" xr6:coauthVersionMax="47" xr10:uidLastSave="{00000000-0000-0000-0000-000000000000}"/>
  <bookViews>
    <workbookView xWindow="-108" yWindow="-108" windowWidth="23256" windowHeight="12456" tabRatio="959" activeTab="2" xr2:uid="{00000000-000D-0000-FFFF-FFFF00000000}"/>
  </bookViews>
  <sheets>
    <sheet name="PEDREIRO" sheetId="2" r:id="rId1"/>
    <sheet name="LIMPEZA URBANA" sheetId="3" r:id="rId2"/>
    <sheet name="RESUMO FINAL" sheetId="4" r:id="rId3"/>
  </sheets>
  <calcPr calcId="191029"/>
  <customWorkbookViews>
    <customWorkbookView name="PMNONOAI - Modo de exibição pessoal" guid="{461F8A0A-C29B-483D-910F-93FC5302E5D9}" mergeInterval="0" changesSavedWin="1" personalView="1" maximized="1" windowWidth="1276" windowHeight="495" tabRatio="959" activeSheetId="1"/>
    <customWorkbookView name="User - Modo de exibição pessoal" guid="{4B39978F-C1D9-4D15-B3CB-C4C71337D1CF}" mergeInterval="0" personalView="1" maximized="1" windowWidth="1362" windowHeight="542" tabRatio="9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G12" i="4"/>
  <c r="E12" i="4"/>
  <c r="C25" i="2"/>
  <c r="C25" i="3"/>
  <c r="D72" i="2"/>
  <c r="B61" i="2"/>
  <c r="C74" i="2"/>
  <c r="D73" i="2"/>
  <c r="D53" i="3" l="1"/>
  <c r="D54" i="3"/>
  <c r="D26" i="4"/>
  <c r="B10" i="4" l="1"/>
  <c r="C10" i="4"/>
  <c r="B11" i="4"/>
  <c r="C11" i="4"/>
  <c r="B4" i="3"/>
  <c r="B5" i="3"/>
  <c r="D22" i="3"/>
  <c r="B24" i="3"/>
  <c r="C24" i="3" s="1"/>
  <c r="B42" i="3"/>
  <c r="B56" i="3"/>
  <c r="B58" i="3" s="1"/>
  <c r="C63" i="3"/>
  <c r="C73" i="3" s="1"/>
  <c r="D64" i="3"/>
  <c r="D65" i="3"/>
  <c r="D66" i="3"/>
  <c r="D67" i="3"/>
  <c r="D68" i="3"/>
  <c r="C69" i="3"/>
  <c r="D69" i="3" s="1"/>
  <c r="B4" i="2"/>
  <c r="B5" i="2"/>
  <c r="D22" i="2"/>
  <c r="B24" i="2"/>
  <c r="C24" i="2" s="1"/>
  <c r="B42" i="2"/>
  <c r="B63" i="2"/>
  <c r="C68" i="2"/>
  <c r="C78" i="2" s="1"/>
  <c r="D69" i="2"/>
  <c r="D70" i="2"/>
  <c r="D71" i="2"/>
  <c r="D74" i="2"/>
  <c r="C85" i="2" l="1"/>
  <c r="C80" i="2"/>
  <c r="D80" i="2" s="1"/>
  <c r="C12" i="4"/>
  <c r="C75" i="3"/>
  <c r="D75" i="3" s="1"/>
  <c r="D68" i="2"/>
  <c r="D78" i="2" s="1"/>
  <c r="D24" i="2"/>
  <c r="D25" i="2"/>
  <c r="C26" i="2"/>
  <c r="D26" i="2" s="1"/>
  <c r="D63" i="3"/>
  <c r="D73" i="3" s="1"/>
  <c r="D25" i="3"/>
  <c r="C26" i="3"/>
  <c r="D26" i="3" s="1"/>
  <c r="D24" i="3"/>
  <c r="C29" i="3" l="1"/>
  <c r="D29" i="3" s="1"/>
  <c r="C27" i="3"/>
  <c r="D27" i="3" s="1"/>
  <c r="C28" i="2"/>
  <c r="D28" i="2" s="1"/>
  <c r="C29" i="2"/>
  <c r="D29" i="2" s="1"/>
  <c r="C27" i="2"/>
  <c r="D27" i="2" s="1"/>
  <c r="C28" i="3"/>
  <c r="D28" i="3" s="1"/>
  <c r="C30" i="3" l="1"/>
  <c r="C35" i="3" s="1"/>
  <c r="D35" i="3" s="1"/>
  <c r="C30" i="2"/>
  <c r="C60" i="2" l="1"/>
  <c r="D60" i="2" s="1"/>
  <c r="C59" i="2"/>
  <c r="D59" i="2" s="1"/>
  <c r="C54" i="2"/>
  <c r="D54" i="2" s="1"/>
  <c r="C58" i="2"/>
  <c r="D58" i="2" s="1"/>
  <c r="C57" i="2"/>
  <c r="D57" i="2" s="1"/>
  <c r="C56" i="2"/>
  <c r="D56" i="2" s="1"/>
  <c r="C55" i="2"/>
  <c r="D55" i="2" s="1"/>
  <c r="C49" i="3"/>
  <c r="D49" i="3" s="1"/>
  <c r="C34" i="3"/>
  <c r="D34" i="3" s="1"/>
  <c r="C48" i="3"/>
  <c r="D48" i="3" s="1"/>
  <c r="C41" i="3"/>
  <c r="D41" i="3" s="1"/>
  <c r="C55" i="3"/>
  <c r="D55" i="3" s="1"/>
  <c r="C38" i="3"/>
  <c r="D38" i="3" s="1"/>
  <c r="C52" i="3"/>
  <c r="D52" i="3" s="1"/>
  <c r="C37" i="3"/>
  <c r="D37" i="3" s="1"/>
  <c r="C51" i="3"/>
  <c r="D51" i="3" s="1"/>
  <c r="C47" i="3"/>
  <c r="D47" i="3" s="1"/>
  <c r="C40" i="3"/>
  <c r="D40" i="3" s="1"/>
  <c r="C36" i="3"/>
  <c r="D36" i="3" s="1"/>
  <c r="C50" i="3"/>
  <c r="D50" i="3" s="1"/>
  <c r="D30" i="3"/>
  <c r="C39" i="3"/>
  <c r="D39" i="3" s="1"/>
  <c r="D30" i="2"/>
  <c r="C47" i="2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34" i="2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56" i="3" l="1"/>
  <c r="C42" i="3"/>
  <c r="D42" i="3" s="1"/>
  <c r="D47" i="2"/>
  <c r="C61" i="2"/>
  <c r="D34" i="2"/>
  <c r="C42" i="2"/>
  <c r="D42" i="2" s="1"/>
  <c r="D61" i="2" l="1"/>
  <c r="C63" i="2"/>
  <c r="D56" i="3"/>
  <c r="C58" i="3"/>
  <c r="D58" i="3" s="1"/>
  <c r="C60" i="3" l="1"/>
  <c r="D63" i="2"/>
  <c r="C65" i="2"/>
  <c r="D60" i="3" l="1"/>
  <c r="C74" i="3"/>
  <c r="D74" i="3" s="1"/>
  <c r="D65" i="2"/>
  <c r="C79" i="2"/>
  <c r="D79" i="2" l="1"/>
  <c r="C77" i="3" l="1"/>
  <c r="C82" i="2" l="1"/>
  <c r="C86" i="2" s="1"/>
  <c r="D10" i="4"/>
  <c r="E10" i="4" s="1"/>
  <c r="G10" i="4" s="1"/>
  <c r="D77" i="3"/>
  <c r="D81" i="3" s="1"/>
  <c r="C81" i="3"/>
  <c r="H10" i="4" l="1"/>
  <c r="F10" i="4"/>
  <c r="D82" i="2"/>
  <c r="D86" i="2" s="1"/>
  <c r="D11" i="4"/>
  <c r="E11" i="4" l="1"/>
  <c r="G11" i="4" s="1"/>
  <c r="I10" i="4"/>
  <c r="H11" i="4" l="1"/>
  <c r="I11" i="4" s="1"/>
  <c r="I12" i="4" s="1"/>
  <c r="F11" i="4"/>
  <c r="F12" i="4" s="1"/>
  <c r="H12" i="4" l="1"/>
</calcChain>
</file>

<file path=xl/sharedStrings.xml><?xml version="1.0" encoding="utf-8"?>
<sst xmlns="http://schemas.openxmlformats.org/spreadsheetml/2006/main" count="225" uniqueCount="141">
  <si>
    <t>PLANILHA DE CUSTOS E FORMAÇÃO DE PREÇOS</t>
  </si>
  <si>
    <t>EMPRESA ENQUADRADA NO LUCRO:</t>
  </si>
  <si>
    <t xml:space="preserve"> PRESUMIDO</t>
  </si>
  <si>
    <t xml:space="preserve"> REAL</t>
  </si>
  <si>
    <t>I - INFORMAÇÕES DA PRESTAÇÃO E SERVIÇOS:</t>
  </si>
  <si>
    <t>NUMERO</t>
  </si>
  <si>
    <t xml:space="preserve"> POR EXTENSO</t>
  </si>
  <si>
    <t>A - Do Serviço:</t>
  </si>
  <si>
    <t>01 - JORNADA DIÁRIA</t>
  </si>
  <si>
    <t>02 - ESCALA DE SERVIÇO</t>
  </si>
  <si>
    <t>03 - TOTAL DE HORAS MENSAIS</t>
  </si>
  <si>
    <t>04 - QUANTIDADE DE FUNCIONÁRIOS NECESSÁRIOS</t>
  </si>
  <si>
    <t>05 - QUANTIDADE DE POSTOS LICITADOS</t>
  </si>
  <si>
    <t>B - Salário Normativo e Dados Complementares:</t>
  </si>
  <si>
    <t xml:space="preserve">                                                                                                                     </t>
  </si>
  <si>
    <t>02 - CATEGORIA PROFISSIONAL/ FUNÇÃO</t>
  </si>
  <si>
    <t>03 - SINDICATO PROFISSIONAL COMPETENTE</t>
  </si>
  <si>
    <t>04 - DATA BASE DA CATEGORIA</t>
  </si>
  <si>
    <t>05 - N°. DISSIDIO DA CATEGORIA VIGENTE</t>
  </si>
  <si>
    <t>II - REMUNEAÇÃO E ENCARGOS:</t>
  </si>
  <si>
    <t>VALOR ou %</t>
  </si>
  <si>
    <t xml:space="preserve">A - REMUNERAÇÃO  </t>
  </si>
  <si>
    <t>01 - Salário Base cfe Categoria</t>
  </si>
  <si>
    <t>02 - Adicionais Insalubridade</t>
  </si>
  <si>
    <t>03 - Adicional Periculosidade</t>
  </si>
  <si>
    <t>04 - Adicionais Noturno - 20%</t>
  </si>
  <si>
    <t>05 - Adicional de Horas Extras + DSR - 50%</t>
  </si>
  <si>
    <t>06 - Repouso Intervalar</t>
  </si>
  <si>
    <t xml:space="preserve">TOTAL DA REMUNERAÇÃO (A) = </t>
  </si>
  <si>
    <t>B - ENCARGOS SOCIAIS</t>
  </si>
  <si>
    <t xml:space="preserve"> *Incidentes sobre  Remuneração </t>
  </si>
  <si>
    <t>01 - PREVIDÊNCIA SOCIAL PATRONAL</t>
  </si>
  <si>
    <t>02 - SESC</t>
  </si>
  <si>
    <t>03 - SENAC</t>
  </si>
  <si>
    <t>04 - INCRA</t>
  </si>
  <si>
    <t>05 - SALÁRIO EDUCAÇÃO</t>
  </si>
  <si>
    <t>06 - FGTS</t>
  </si>
  <si>
    <t>07 - Seguro Acidente do trabalho/SAT/INSS</t>
  </si>
  <si>
    <t>08 - SEBRAE</t>
  </si>
  <si>
    <t>VALOR DOS ENCARGOS SOCIAIS:</t>
  </si>
  <si>
    <t>C - DEMAIS ENCARGOS TRABALHISTAS</t>
  </si>
  <si>
    <t>Grupo "C.1"</t>
  </si>
  <si>
    <t>01 - 13º Salário</t>
  </si>
  <si>
    <t>02 - Férias (1/12 + 1/3)</t>
  </si>
  <si>
    <t>03 – Abono de férias</t>
  </si>
  <si>
    <t>04 - Auxílio Doença/Enfermidade</t>
  </si>
  <si>
    <t>05 - Licença paternidade/maternidade</t>
  </si>
  <si>
    <t>TOTAL DO GRUPO C.1 =</t>
  </si>
  <si>
    <t>VALOR DA REMUNERAÇÃO MAIS ENCARGOS: ( A + B + C ) =</t>
  </si>
  <si>
    <t>-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</si>
  <si>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</si>
  <si>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</si>
  <si>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</si>
  <si>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</si>
  <si>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05 - Benefício Familiar</t>
  </si>
  <si>
    <t>TOTAL DOS INSUMOS</t>
  </si>
  <si>
    <t>01 - REMUNERAÇÃO E ENCARGOS</t>
  </si>
  <si>
    <t>NÚMERO DE MESES</t>
  </si>
  <si>
    <t>OITO HORAS</t>
  </si>
  <si>
    <t>RESUMO FINAL DA PLANILHA DE CUSTO POR ITEM DA PROPOSTA</t>
  </si>
  <si>
    <t>A - EMPRESA ENQUADRADA NO LUCRO:</t>
  </si>
  <si>
    <t>X</t>
  </si>
  <si>
    <t xml:space="preserve"> </t>
  </si>
  <si>
    <t>B - PLANILHA DE CUSTO E FORMAÇÃO DE PREÇO POR ITEM DA PROPOSTA</t>
  </si>
  <si>
    <t>ITEM</t>
  </si>
  <si>
    <t>DESCRIÇAO</t>
  </si>
  <si>
    <t>VL POR POSTO</t>
  </si>
  <si>
    <t>VL. ANUAL 12 MESES</t>
  </si>
  <si>
    <t>TOTAL DO CUSTO DE FUNCIONÁRIOS</t>
  </si>
  <si>
    <t>01 - SALÁRIO NORMATIVO DA CATEGORIA P/ 220H/M</t>
  </si>
  <si>
    <t>AUXILIAR DE LIMPEZA URBANA C.B.O: 5142</t>
  </si>
  <si>
    <t>SEEAC-RS</t>
  </si>
  <si>
    <t>CENTO E SETENTA E SEIS</t>
  </si>
  <si>
    <t>SINDOSCON-RS</t>
  </si>
  <si>
    <t>POR POSTO MENSAL</t>
  </si>
  <si>
    <t>02 - INSUMOS</t>
  </si>
  <si>
    <t>VALOR DOS ENCARGOS TRABALHISTAS: (C.1)</t>
  </si>
  <si>
    <t>III - INSUMOS PREVISTOS EM CCT/DISSÍDIOS:</t>
  </si>
  <si>
    <t>POSTO</t>
  </si>
  <si>
    <t>CUSTO P/HORA S/ BDI</t>
  </si>
  <si>
    <t xml:space="preserve">VALOR DOS ENCARGOS TRABALHISTAS: (C.1) </t>
  </si>
  <si>
    <t>CUSTO P/HORA C/ BDI</t>
  </si>
  <si>
    <t>VL. MENSAL TOTAL S/ BDI</t>
  </si>
  <si>
    <t xml:space="preserve"> VL. MENSAL TOTAL C/ BDI</t>
  </si>
  <si>
    <t>SEG-SEX 07:30 AS 11:30 HS / 13:00 HS AS 17:00HRS</t>
  </si>
  <si>
    <t>Quadro de Composição do BDI</t>
  </si>
  <si>
    <t>Itens</t>
  </si>
  <si>
    <t>Siglas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</si>
  <si>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</si>
  <si>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</si>
  <si>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</si>
  <si>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</si>
  <si>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</si>
  <si>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</si>
  <si>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</si>
  <si>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</si>
  <si>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</si>
  <si>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</si>
  <si>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Tributos( impostos Cofins 3% e PIS 0,65%)</t>
  </si>
  <si>
    <t>CP</t>
  </si>
  <si>
    <t>Tributos (ISS, variável de acordo com o município)</t>
  </si>
  <si>
    <t>ISS</t>
  </si>
  <si>
    <t>Tributos (Contribuição Previdênciária sobre a Receita Bruta - 0% ou 4,5%- Desoneração</t>
  </si>
  <si>
    <t>CPRB</t>
  </si>
  <si>
    <t>BDI com desoneração</t>
  </si>
  <si>
    <t>BDI sem desoneração (Fórmula Acórdão TCU)</t>
  </si>
  <si>
    <t>BDI PAD</t>
  </si>
  <si>
    <t>BDI DES</t>
  </si>
  <si>
    <t>TOTAL 12 POSTOS MENSAL</t>
  </si>
  <si>
    <t>A fórmula para cálculo do BDI foi:</t>
  </si>
  <si>
    <r>
      <t xml:space="preserve">BDI= </t>
    </r>
    <r>
      <rPr>
        <u/>
        <sz val="10"/>
        <rFont val="Arial"/>
        <family val="2"/>
      </rPr>
      <t>(1+AC+SG+R)*(1+DF)*(1+L)</t>
    </r>
    <r>
      <rPr>
        <sz val="10"/>
        <rFont val="Arial"/>
        <family val="2"/>
      </rPr>
      <t xml:space="preserve">   
                             (1-CP-ISS-CRPB)                  -1 
</t>
    </r>
  </si>
  <si>
    <t>IV- QUADRO RESUMO COM O TOTAL DE GASTOS</t>
  </si>
  <si>
    <t>V- PREÇO MENSAL DO CONTRATO</t>
  </si>
  <si>
    <t>VI - PREÇO ANUAL DO CONTRATO</t>
  </si>
  <si>
    <t>IV - QUADRO RESUMO COM O TOTAL DE GASTOS</t>
  </si>
  <si>
    <t>V - PREÇO MENSAL DO CONTRATO</t>
  </si>
  <si>
    <t>TREZE</t>
  </si>
  <si>
    <t xml:space="preserve">MR000217/2023 </t>
  </si>
  <si>
    <t>07 - Auxílio Lanche</t>
  </si>
  <si>
    <t>08 - Auxílio Alimentação</t>
  </si>
  <si>
    <t>09 - Acidente de trabalho</t>
  </si>
  <si>
    <t>06 - Faltas legais</t>
  </si>
  <si>
    <t>02 - SESI</t>
  </si>
  <si>
    <t>03 - SENAI</t>
  </si>
  <si>
    <t>07 - Acidente de trabalho</t>
  </si>
  <si>
    <t>08 - Aviso Prévio Indenizado</t>
  </si>
  <si>
    <t>09 - Aviso Prévio Trabalhado</t>
  </si>
  <si>
    <t>10 - Férias Indenizadas</t>
  </si>
  <si>
    <t>11 - Depósito Rescisão Sem Justa Causa</t>
  </si>
  <si>
    <t>12 - Indenização Adicional</t>
  </si>
  <si>
    <t>11 - Reincidência de Encargos</t>
  </si>
  <si>
    <t>12 - Reincidência de Encargos sobre Aviso Prévio Trabalhado</t>
  </si>
  <si>
    <t>04 - Benefício Familiar</t>
  </si>
  <si>
    <t>05 - Auxílio Alimentação</t>
  </si>
  <si>
    <t>03 - Seguro de vida em grupo</t>
  </si>
  <si>
    <t>02 - Treinamento e/ou reciclagem de pessoal</t>
  </si>
  <si>
    <t>01 - Equipamentos de proteção individual - EPI</t>
  </si>
  <si>
    <t>PEDREIRO</t>
  </si>
  <si>
    <t>TOTAL 13 POSTOS ANUAL</t>
  </si>
  <si>
    <t>DOIS</t>
  </si>
  <si>
    <t>TOTAL POR 2 POSTO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</si>
</sst>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\-??_);_(@_)"/>
    <numFmt numFmtId="165" formatCode="#"/>
    <numFmt numFmtId="166" formatCode="&quot;R$ &quot;#,##0.00"/>
    <numFmt numFmtId="167" formatCode="[$R$-416]\ #,##0.00;[Red]\-[$R$-416]\ #,##0.00"/>
  </numFmts>
  <fonts count="24">
    <font>
      <sz val="10"/>
      <name val="Arial"/>
      <family val="2"/>
    </font>
    <font>
      <sz val="10"/>
      <name val="Courier New"/>
      <family val="3"/>
    </font>
    <font>
      <b/>
      <sz val="10"/>
      <name val="Verdan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Vedana"/>
    </font>
    <font>
      <b/>
      <sz val="11"/>
      <name val="Vedana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Courier New"/>
      <family val="3"/>
    </font>
    <font>
      <b/>
      <sz val="9"/>
      <name val="Verdana"/>
      <family val="2"/>
    </font>
    <font>
      <b/>
      <u/>
      <sz val="10"/>
      <name val="Verdana"/>
      <family val="2"/>
    </font>
    <font>
      <b/>
      <sz val="10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164" fontId="22" fillId="0" borderId="0" applyFill="0" applyBorder="0" applyAlignment="0" applyProtection="0"/>
    <xf numFmtId="9" fontId="22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1" applyFont="1" applyFill="1" applyBorder="1" applyAlignment="1" applyProtection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165" fontId="6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8" fillId="0" borderId="0" xfId="1" applyFont="1" applyFill="1" applyBorder="1" applyAlignment="1" applyProtection="1"/>
    <xf numFmtId="0" fontId="9" fillId="0" borderId="0" xfId="0" applyFont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1" fillId="3" borderId="0" xfId="0" applyFont="1" applyFill="1"/>
    <xf numFmtId="0" fontId="8" fillId="0" borderId="6" xfId="0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8" fillId="0" borderId="5" xfId="0" applyFont="1" applyBorder="1"/>
    <xf numFmtId="164" fontId="10" fillId="0" borderId="8" xfId="1" applyFont="1" applyFill="1" applyBorder="1" applyAlignment="1" applyProtection="1">
      <alignment horizontal="center"/>
    </xf>
    <xf numFmtId="0" fontId="11" fillId="0" borderId="0" xfId="0" applyFont="1"/>
    <xf numFmtId="0" fontId="8" fillId="0" borderId="5" xfId="0" applyFont="1" applyBorder="1" applyAlignment="1">
      <alignment horizontal="left" vertical="center"/>
    </xf>
    <xf numFmtId="9" fontId="9" fillId="0" borderId="9" xfId="2" applyFont="1" applyFill="1" applyBorder="1" applyAlignment="1" applyProtection="1">
      <alignment horizontal="center"/>
    </xf>
    <xf numFmtId="9" fontId="2" fillId="0" borderId="9" xfId="2" applyFont="1" applyFill="1" applyBorder="1" applyAlignment="1" applyProtection="1">
      <alignment horizontal="center"/>
    </xf>
    <xf numFmtId="0" fontId="2" fillId="0" borderId="9" xfId="2" applyNumberFormat="1" applyFont="1" applyFill="1" applyBorder="1" applyAlignment="1" applyProtection="1">
      <alignment horizontal="center"/>
    </xf>
    <xf numFmtId="9" fontId="2" fillId="0" borderId="6" xfId="2" applyFont="1" applyFill="1" applyBorder="1" applyAlignment="1" applyProtection="1">
      <alignment horizontal="center"/>
    </xf>
    <xf numFmtId="0" fontId="2" fillId="2" borderId="6" xfId="0" applyFont="1" applyFill="1" applyBorder="1"/>
    <xf numFmtId="9" fontId="2" fillId="2" borderId="6" xfId="2" applyFont="1" applyFill="1" applyBorder="1" applyAlignment="1" applyProtection="1">
      <alignment horizontal="center"/>
    </xf>
    <xf numFmtId="164" fontId="13" fillId="2" borderId="6" xfId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9" fontId="8" fillId="0" borderId="5" xfId="2" applyFont="1" applyFill="1" applyBorder="1" applyAlignment="1" applyProtection="1">
      <alignment horizontal="center"/>
    </xf>
    <xf numFmtId="164" fontId="8" fillId="0" borderId="5" xfId="1" applyFont="1" applyFill="1" applyBorder="1" applyAlignment="1" applyProtection="1"/>
    <xf numFmtId="0" fontId="8" fillId="0" borderId="5" xfId="0" applyFont="1" applyBorder="1" applyAlignment="1">
      <alignment horizontal="left"/>
    </xf>
    <xf numFmtId="2" fontId="8" fillId="0" borderId="5" xfId="2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horizontal="left"/>
    </xf>
    <xf numFmtId="0" fontId="2" fillId="0" borderId="10" xfId="0" applyFont="1" applyBorder="1"/>
    <xf numFmtId="10" fontId="2" fillId="0" borderId="10" xfId="2" applyNumberFormat="1" applyFont="1" applyFill="1" applyBorder="1" applyAlignment="1" applyProtection="1">
      <alignment horizontal="center"/>
    </xf>
    <xf numFmtId="164" fontId="2" fillId="0" borderId="10" xfId="1" applyFont="1" applyFill="1" applyBorder="1" applyAlignment="1" applyProtection="1"/>
    <xf numFmtId="164" fontId="2" fillId="0" borderId="5" xfId="1" applyFont="1" applyFill="1" applyBorder="1" applyAlignment="1" applyProtection="1"/>
    <xf numFmtId="0" fontId="14" fillId="0" borderId="0" xfId="0" applyFont="1"/>
    <xf numFmtId="0" fontId="2" fillId="0" borderId="5" xfId="0" applyFont="1" applyBorder="1"/>
    <xf numFmtId="10" fontId="8" fillId="0" borderId="5" xfId="2" applyNumberFormat="1" applyFont="1" applyFill="1" applyBorder="1" applyAlignment="1" applyProtection="1">
      <alignment horizontal="center"/>
    </xf>
    <xf numFmtId="164" fontId="8" fillId="3" borderId="5" xfId="1" applyFont="1" applyFill="1" applyBorder="1" applyAlignment="1" applyProtection="1"/>
    <xf numFmtId="164" fontId="8" fillId="0" borderId="5" xfId="1" applyFont="1" applyFill="1" applyBorder="1" applyAlignment="1" applyProtection="1">
      <alignment horizontal="right"/>
    </xf>
    <xf numFmtId="0" fontId="8" fillId="0" borderId="10" xfId="0" applyFont="1" applyBorder="1"/>
    <xf numFmtId="10" fontId="8" fillId="0" borderId="10" xfId="2" applyNumberFormat="1" applyFont="1" applyFill="1" applyBorder="1" applyAlignment="1" applyProtection="1">
      <alignment horizontal="center"/>
    </xf>
    <xf numFmtId="10" fontId="2" fillId="0" borderId="5" xfId="2" applyNumberFormat="1" applyFont="1" applyFill="1" applyBorder="1" applyAlignment="1" applyProtection="1">
      <alignment horizontal="center"/>
    </xf>
    <xf numFmtId="164" fontId="2" fillId="0" borderId="5" xfId="1" applyFont="1" applyFill="1" applyBorder="1" applyAlignment="1" applyProtection="1">
      <alignment horizontal="right"/>
    </xf>
    <xf numFmtId="0" fontId="8" fillId="0" borderId="6" xfId="0" applyFont="1" applyBorder="1"/>
    <xf numFmtId="10" fontId="8" fillId="0" borderId="6" xfId="2" applyNumberFormat="1" applyFont="1" applyFill="1" applyBorder="1" applyAlignment="1" applyProtection="1">
      <alignment horizontal="center"/>
    </xf>
    <xf numFmtId="164" fontId="8" fillId="0" borderId="6" xfId="1" applyFont="1" applyFill="1" applyBorder="1" applyAlignment="1" applyProtection="1">
      <alignment horizontal="right"/>
    </xf>
    <xf numFmtId="10" fontId="8" fillId="0" borderId="5" xfId="2" applyNumberFormat="1" applyFont="1" applyFill="1" applyBorder="1" applyAlignment="1" applyProtection="1">
      <alignment horizontal="center" vertical="center"/>
    </xf>
    <xf numFmtId="164" fontId="8" fillId="0" borderId="10" xfId="1" applyFont="1" applyFill="1" applyBorder="1" applyAlignment="1" applyProtection="1"/>
    <xf numFmtId="9" fontId="2" fillId="3" borderId="5" xfId="2" applyFont="1" applyFill="1" applyBorder="1" applyAlignment="1" applyProtection="1">
      <alignment horizontal="center"/>
    </xf>
    <xf numFmtId="164" fontId="2" fillId="3" borderId="5" xfId="1" applyFont="1" applyFill="1" applyBorder="1" applyAlignment="1" applyProtection="1"/>
    <xf numFmtId="166" fontId="0" fillId="0" borderId="5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1" xfId="0" applyFont="1" applyFill="1" applyBorder="1"/>
    <xf numFmtId="0" fontId="2" fillId="2" borderId="11" xfId="0" applyFont="1" applyFill="1" applyBorder="1"/>
    <xf numFmtId="0" fontId="5" fillId="0" borderId="5" xfId="0" applyFont="1" applyBorder="1"/>
    <xf numFmtId="164" fontId="4" fillId="0" borderId="6" xfId="2" applyNumberFormat="1" applyFont="1" applyFill="1" applyBorder="1" applyAlignment="1" applyProtection="1">
      <alignment horizontal="center"/>
    </xf>
    <xf numFmtId="164" fontId="4" fillId="0" borderId="6" xfId="2" applyNumberFormat="1" applyFont="1" applyFill="1" applyBorder="1" applyAlignment="1" applyProtection="1">
      <alignment horizontal="right" vertical="center"/>
    </xf>
    <xf numFmtId="0" fontId="15" fillId="0" borderId="0" xfId="0" applyFont="1"/>
    <xf numFmtId="0" fontId="5" fillId="0" borderId="5" xfId="0" applyFont="1" applyBorder="1" applyAlignment="1">
      <alignment horizontal="left"/>
    </xf>
    <xf numFmtId="10" fontId="4" fillId="0" borderId="5" xfId="2" applyNumberFormat="1" applyFont="1" applyFill="1" applyBorder="1" applyAlignment="1" applyProtection="1">
      <alignment horizontal="center"/>
    </xf>
    <xf numFmtId="164" fontId="5" fillId="2" borderId="10" xfId="1" applyFont="1" applyFill="1" applyBorder="1" applyAlignment="1" applyProtection="1"/>
    <xf numFmtId="164" fontId="5" fillId="2" borderId="13" xfId="1" applyFont="1" applyFill="1" applyBorder="1" applyAlignment="1" applyProtection="1"/>
    <xf numFmtId="0" fontId="16" fillId="0" borderId="0" xfId="0" applyFont="1"/>
    <xf numFmtId="0" fontId="8" fillId="0" borderId="12" xfId="0" applyFont="1" applyBorder="1"/>
    <xf numFmtId="0" fontId="8" fillId="0" borderId="7" xfId="0" applyFont="1" applyBorder="1"/>
    <xf numFmtId="0" fontId="8" fillId="0" borderId="8" xfId="0" applyFont="1" applyBorder="1"/>
    <xf numFmtId="0" fontId="5" fillId="2" borderId="14" xfId="0" applyFont="1" applyFill="1" applyBorder="1" applyAlignment="1">
      <alignment horizontal="left"/>
    </xf>
    <xf numFmtId="10" fontId="8" fillId="2" borderId="15" xfId="2" applyNumberFormat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64" fontId="9" fillId="0" borderId="6" xfId="1" applyFont="1" applyFill="1" applyBorder="1" applyAlignment="1" applyProtection="1"/>
    <xf numFmtId="0" fontId="16" fillId="0" borderId="0" xfId="0" applyFont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164" fontId="8" fillId="3" borderId="12" xfId="1" applyFont="1" applyFill="1" applyBorder="1" applyAlignment="1" applyProtection="1"/>
    <xf numFmtId="164" fontId="8" fillId="3" borderId="8" xfId="1" applyFont="1" applyFill="1" applyBorder="1" applyAlignment="1" applyProtection="1"/>
    <xf numFmtId="0" fontId="17" fillId="0" borderId="0" xfId="0" applyFont="1" applyAlignment="1">
      <alignment horizontal="center"/>
    </xf>
    <xf numFmtId="0" fontId="19" fillId="4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7" fontId="20" fillId="0" borderId="5" xfId="0" applyNumberFormat="1" applyFont="1" applyBorder="1" applyAlignment="1">
      <alignment horizontal="center"/>
    </xf>
    <xf numFmtId="167" fontId="20" fillId="0" borderId="21" xfId="0" applyNumberFormat="1" applyFont="1" applyBorder="1" applyAlignment="1">
      <alignment horizontal="center"/>
    </xf>
    <xf numFmtId="0" fontId="21" fillId="0" borderId="0" xfId="0" applyFont="1"/>
    <xf numFmtId="0" fontId="21" fillId="0" borderId="20" xfId="0" applyFont="1" applyBorder="1" applyAlignment="1">
      <alignment horizontal="center"/>
    </xf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164" fontId="22" fillId="0" borderId="5" xfId="1" applyFill="1" applyBorder="1" applyAlignment="1" applyProtection="1"/>
    <xf numFmtId="164" fontId="21" fillId="0" borderId="5" xfId="1" applyFont="1" applyFill="1" applyBorder="1" applyAlignment="1" applyProtection="1">
      <alignment horizontal="left"/>
    </xf>
    <xf numFmtId="164" fontId="21" fillId="0" borderId="21" xfId="1" applyFont="1" applyFill="1" applyBorder="1" applyAlignment="1" applyProtection="1">
      <alignment horizontal="left"/>
    </xf>
    <xf numFmtId="3" fontId="17" fillId="0" borderId="22" xfId="0" applyNumberFormat="1" applyFont="1" applyBorder="1" applyAlignment="1">
      <alignment horizontal="center"/>
    </xf>
    <xf numFmtId="164" fontId="17" fillId="0" borderId="22" xfId="1" applyFont="1" applyFill="1" applyBorder="1" applyAlignment="1" applyProtection="1">
      <alignment horizontal="left"/>
    </xf>
    <xf numFmtId="164" fontId="17" fillId="0" borderId="19" xfId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18" fillId="0" borderId="0" xfId="0" applyFont="1" applyAlignment="1">
      <alignment horizontal="left"/>
    </xf>
    <xf numFmtId="164" fontId="17" fillId="0" borderId="31" xfId="1" applyFont="1" applyFill="1" applyBorder="1" applyAlignment="1" applyProtection="1">
      <alignment horizontal="left"/>
    </xf>
    <xf numFmtId="164" fontId="22" fillId="0" borderId="8" xfId="1" applyFill="1" applyBorder="1" applyAlignment="1" applyProtection="1"/>
    <xf numFmtId="164" fontId="17" fillId="0" borderId="26" xfId="1" applyFont="1" applyFill="1" applyBorder="1" applyAlignment="1" applyProtection="1">
      <alignment horizontal="left"/>
    </xf>
    <xf numFmtId="0" fontId="20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wrapText="1"/>
    </xf>
    <xf numFmtId="0" fontId="21" fillId="0" borderId="35" xfId="0" applyFont="1" applyBorder="1" applyAlignment="1">
      <alignment horizontal="center" wrapText="1"/>
    </xf>
    <xf numFmtId="10" fontId="21" fillId="0" borderId="36" xfId="0" applyNumberFormat="1" applyFont="1" applyBorder="1" applyAlignment="1">
      <alignment horizontal="right" wrapText="1"/>
    </xf>
    <xf numFmtId="10" fontId="20" fillId="0" borderId="36" xfId="0" applyNumberFormat="1" applyFont="1" applyBorder="1" applyAlignment="1">
      <alignment horizontal="right" wrapText="1"/>
    </xf>
    <xf numFmtId="10" fontId="21" fillId="5" borderId="36" xfId="0" applyNumberFormat="1" applyFont="1" applyFill="1" applyBorder="1" applyAlignment="1">
      <alignment horizontal="right" wrapText="1"/>
    </xf>
    <xf numFmtId="0" fontId="21" fillId="0" borderId="36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10" fontId="21" fillId="0" borderId="3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/>
    </xf>
    <xf numFmtId="164" fontId="8" fillId="3" borderId="5" xfId="1" applyFont="1" applyFill="1" applyBorder="1" applyAlignment="1" applyProtection="1">
      <alignment horizontal="center"/>
    </xf>
    <xf numFmtId="14" fontId="8" fillId="3" borderId="5" xfId="1" applyNumberFormat="1" applyFont="1" applyFill="1" applyBorder="1" applyAlignment="1" applyProtection="1">
      <alignment horizontal="center"/>
    </xf>
    <xf numFmtId="0" fontId="8" fillId="3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9" fontId="8" fillId="3" borderId="8" xfId="2" applyFont="1" applyFill="1" applyBorder="1" applyAlignment="1" applyProtection="1">
      <alignment horizontal="center"/>
    </xf>
    <xf numFmtId="0" fontId="2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12" fillId="3" borderId="5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2" borderId="2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164" fontId="2" fillId="3" borderId="5" xfId="1" applyFont="1" applyFill="1" applyBorder="1" applyAlignment="1" applyProtection="1">
      <alignment horizontal="center"/>
    </xf>
    <xf numFmtId="0" fontId="8" fillId="0" borderId="10" xfId="0" applyFont="1" applyBorder="1" applyAlignment="1">
      <alignment horizontal="center"/>
    </xf>
    <xf numFmtId="166" fontId="10" fillId="3" borderId="5" xfId="1" applyNumberFormat="1" applyFont="1" applyFill="1" applyBorder="1" applyAlignment="1" applyProtection="1">
      <alignment horizontal="center"/>
    </xf>
    <xf numFmtId="0" fontId="0" fillId="5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17" fillId="2" borderId="24" xfId="0" applyFont="1" applyFill="1" applyBorder="1" applyAlignment="1">
      <alignment horizont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7" fillId="2" borderId="25" xfId="0" applyFont="1" applyFill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20" fillId="5" borderId="32" xfId="0" applyFont="1" applyFill="1" applyBorder="1" applyAlignment="1">
      <alignment horizontal="center" wrapText="1"/>
    </xf>
    <xf numFmtId="0" fontId="20" fillId="5" borderId="33" xfId="0" applyFont="1" applyFill="1" applyBorder="1" applyAlignment="1">
      <alignment horizontal="center" wrapText="1"/>
    </xf>
    <xf numFmtId="0" fontId="20" fillId="5" borderId="34" xfId="0" applyFont="1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/>
  <dimension ref="A1:D86"/>
  <sheetViews>
    <sheetView showGridLines="0" topLeftCell="A58" zoomScale="70" zoomScaleNormal="70" zoomScaleSheetLayoutView="115" workbookViewId="0">
      <selection activeCell="D86" sqref="D86"/>
    </sheetView>
  </sheetViews>
  <sheetFormatPr defaultColWidth="9.109375" defaultRowHeight="13.8"/>
  <cols>
    <col min="1" max="1" width="63.44140625" style="1" customWidth="1"/>
    <col min="2" max="2" width="14.33203125" style="2" customWidth="1"/>
    <col min="3" max="3" width="24.5546875" style="3" customWidth="1"/>
    <col min="4" max="4" width="38.5546875" style="3" customWidth="1"/>
    <col min="5" max="16384" width="9.109375" style="1"/>
  </cols>
  <sheetData>
    <row r="1" spans="1:4" ht="8.25" customHeight="1">
      <c r="A1" s="135"/>
      <c r="B1" s="135"/>
      <c r="C1" s="135"/>
      <c r="D1" s="4"/>
    </row>
    <row r="2" spans="1:4" ht="19.5" customHeight="1">
      <c r="A2" s="136" t="s">
        <v>0</v>
      </c>
      <c r="B2" s="136"/>
      <c r="C2" s="136"/>
      <c r="D2" s="136"/>
    </row>
    <row r="3" spans="1:4" ht="19.5" customHeight="1">
      <c r="A3" s="5"/>
      <c r="B3" s="5"/>
      <c r="C3" s="5"/>
      <c r="D3" s="5"/>
    </row>
    <row r="4" spans="1:4" ht="16.2">
      <c r="A4" s="6" t="s">
        <v>1</v>
      </c>
      <c r="B4" s="7" t="str">
        <f>'RESUMO FINAL'!$C$4</f>
        <v>X</v>
      </c>
      <c r="C4" s="8" t="s">
        <v>2</v>
      </c>
      <c r="D4" s="9"/>
    </row>
    <row r="5" spans="1:4" ht="15.6">
      <c r="A5" s="10"/>
      <c r="B5" s="11">
        <f>'RESUMO FINAL'!$C$5</f>
        <v>0</v>
      </c>
      <c r="C5" s="12" t="s">
        <v>3</v>
      </c>
      <c r="D5" s="13"/>
    </row>
    <row r="6" spans="1:4" ht="14.4">
      <c r="A6" s="10"/>
      <c r="B6" s="14"/>
      <c r="C6" s="13"/>
      <c r="D6" s="13"/>
    </row>
    <row r="7" spans="1:4">
      <c r="A7" s="15" t="s">
        <v>4</v>
      </c>
      <c r="B7" s="16" t="s">
        <v>5</v>
      </c>
      <c r="C7" s="137" t="s">
        <v>6</v>
      </c>
      <c r="D7" s="137"/>
    </row>
    <row r="8" spans="1:4" s="19" customFormat="1">
      <c r="A8" s="17" t="s">
        <v>7</v>
      </c>
      <c r="B8" s="18"/>
      <c r="C8" s="125"/>
      <c r="D8" s="125"/>
    </row>
    <row r="9" spans="1:4" ht="16.2">
      <c r="A9" s="20" t="s">
        <v>8</v>
      </c>
      <c r="B9" s="21">
        <v>8</v>
      </c>
      <c r="C9" s="138" t="s">
        <v>58</v>
      </c>
      <c r="D9" s="138"/>
    </row>
    <row r="10" spans="1:4" ht="16.2">
      <c r="A10" s="20" t="s">
        <v>9</v>
      </c>
      <c r="B10" s="21"/>
      <c r="C10" s="138" t="s">
        <v>84</v>
      </c>
      <c r="D10" s="138"/>
    </row>
    <row r="11" spans="1:4" ht="16.2">
      <c r="A11" s="20" t="s">
        <v>10</v>
      </c>
      <c r="B11" s="22">
        <v>176</v>
      </c>
      <c r="C11" s="138" t="s">
        <v>72</v>
      </c>
      <c r="D11" s="138"/>
    </row>
    <row r="12" spans="1:4" ht="16.2">
      <c r="A12" s="20" t="s">
        <v>11</v>
      </c>
      <c r="B12" s="22">
        <v>2</v>
      </c>
      <c r="C12" s="128" t="s">
        <v>139</v>
      </c>
      <c r="D12" s="128"/>
    </row>
    <row r="13" spans="1:4" ht="16.2">
      <c r="A13" s="20" t="s">
        <v>12</v>
      </c>
      <c r="B13" s="22">
        <v>2</v>
      </c>
      <c r="C13" s="128" t="s">
        <v>139</v>
      </c>
      <c r="D13" s="128"/>
    </row>
    <row r="14" spans="1:4">
      <c r="A14" s="139"/>
      <c r="B14" s="139"/>
      <c r="C14" s="139"/>
      <c r="D14" s="139"/>
    </row>
    <row r="15" spans="1:4">
      <c r="A15" s="23" t="s">
        <v>13</v>
      </c>
      <c r="B15" s="83"/>
      <c r="C15" s="84" t="s">
        <v>14</v>
      </c>
      <c r="D15" s="85"/>
    </row>
    <row r="16" spans="1:4" s="26" customFormat="1" ht="14.4">
      <c r="A16" s="24" t="s">
        <v>69</v>
      </c>
      <c r="B16" s="25"/>
      <c r="C16" s="140">
        <v>2013</v>
      </c>
      <c r="D16" s="140"/>
    </row>
    <row r="17" spans="1:4" s="26" customFormat="1" ht="15" customHeight="1">
      <c r="A17" s="24" t="s">
        <v>15</v>
      </c>
      <c r="B17" s="28"/>
      <c r="C17" s="134" t="s">
        <v>137</v>
      </c>
      <c r="D17" s="134"/>
    </row>
    <row r="18" spans="1:4">
      <c r="A18" s="24" t="s">
        <v>16</v>
      </c>
      <c r="B18" s="29"/>
      <c r="C18" s="125" t="s">
        <v>73</v>
      </c>
      <c r="D18" s="125"/>
    </row>
    <row r="19" spans="1:4">
      <c r="A19" s="24" t="s">
        <v>17</v>
      </c>
      <c r="B19" s="29"/>
      <c r="C19" s="126">
        <v>45047</v>
      </c>
      <c r="D19" s="126"/>
    </row>
    <row r="20" spans="1:4">
      <c r="A20" s="24"/>
      <c r="B20" s="30"/>
      <c r="C20" s="127"/>
      <c r="D20" s="127"/>
    </row>
    <row r="21" spans="1:4">
      <c r="A21" s="20"/>
      <c r="B21" s="31"/>
      <c r="C21" s="125"/>
      <c r="D21" s="125"/>
    </row>
    <row r="22" spans="1:4">
      <c r="A22" s="32" t="s">
        <v>19</v>
      </c>
      <c r="B22" s="33" t="s">
        <v>20</v>
      </c>
      <c r="C22" s="34" t="s">
        <v>74</v>
      </c>
      <c r="D22" s="34" t="str">
        <f>"POR"&amp;" "&amp;B12&amp;" "&amp;"POSTOS"</f>
        <v>POR 2 POSTOS</v>
      </c>
    </row>
    <row r="23" spans="1:4">
      <c r="A23" s="35" t="s">
        <v>21</v>
      </c>
      <c r="B23" s="36"/>
      <c r="C23" s="37"/>
      <c r="D23" s="37"/>
    </row>
    <row r="24" spans="1:4">
      <c r="A24" s="38" t="s">
        <v>22</v>
      </c>
      <c r="B24" s="39">
        <f>B11</f>
        <v>176</v>
      </c>
      <c r="C24" s="37">
        <f>C16/176*B24</f>
        <v>2013</v>
      </c>
      <c r="D24" s="37">
        <f t="shared" ref="D24:D30" si="0">C24*$B$12</f>
        <v>4026</v>
      </c>
    </row>
    <row r="25" spans="1:4">
      <c r="A25" s="38" t="s">
        <v>23</v>
      </c>
      <c r="B25" s="39">
        <v>40</v>
      </c>
      <c r="C25" s="37">
        <f>1320*B25%</f>
        <v>528</v>
      </c>
      <c r="D25" s="37">
        <f t="shared" si="0"/>
        <v>1056</v>
      </c>
    </row>
    <row r="26" spans="1:4">
      <c r="A26" s="38" t="s">
        <v>24</v>
      </c>
      <c r="B26" s="39">
        <v>0</v>
      </c>
      <c r="C26" s="37">
        <f>C24*B26%</f>
        <v>0</v>
      </c>
      <c r="D26" s="37">
        <f t="shared" si="0"/>
        <v>0</v>
      </c>
    </row>
    <row r="27" spans="1:4">
      <c r="A27" s="38" t="s">
        <v>25</v>
      </c>
      <c r="B27" s="39">
        <v>0</v>
      </c>
      <c r="C27" s="37">
        <f>(((C24+C25+C26)/220)*20%)*B27</f>
        <v>0</v>
      </c>
      <c r="D27" s="37">
        <f t="shared" si="0"/>
        <v>0</v>
      </c>
    </row>
    <row r="28" spans="1:4">
      <c r="A28" s="40" t="s">
        <v>26</v>
      </c>
      <c r="B28" s="39">
        <v>0</v>
      </c>
      <c r="C28" s="37">
        <f>(((C24+C25+C26)/220)*1.5)*B28</f>
        <v>0</v>
      </c>
      <c r="D28" s="37">
        <f t="shared" si="0"/>
        <v>0</v>
      </c>
    </row>
    <row r="29" spans="1:4">
      <c r="A29" s="40" t="s">
        <v>27</v>
      </c>
      <c r="B29" s="39">
        <v>0</v>
      </c>
      <c r="C29" s="37">
        <f>(((C24+C25+C26)/220)*1.5)*B29</f>
        <v>0</v>
      </c>
      <c r="D29" s="37">
        <f t="shared" si="0"/>
        <v>0</v>
      </c>
    </row>
    <row r="30" spans="1:4" s="45" customFormat="1">
      <c r="A30" s="41" t="s">
        <v>28</v>
      </c>
      <c r="B30" s="42"/>
      <c r="C30" s="43">
        <f>SUM(C24:C29)</f>
        <v>2541</v>
      </c>
      <c r="D30" s="44">
        <f t="shared" si="0"/>
        <v>5082</v>
      </c>
    </row>
    <row r="31" spans="1:4">
      <c r="A31" s="46"/>
      <c r="B31" s="47"/>
      <c r="C31" s="37"/>
      <c r="D31" s="37"/>
    </row>
    <row r="32" spans="1:4">
      <c r="A32" s="35" t="s">
        <v>29</v>
      </c>
      <c r="B32" s="36"/>
      <c r="C32" s="37"/>
      <c r="D32" s="37"/>
    </row>
    <row r="33" spans="1:4">
      <c r="A33" s="38" t="s">
        <v>30</v>
      </c>
      <c r="B33" s="36"/>
      <c r="C33" s="48"/>
      <c r="D33" s="48"/>
    </row>
    <row r="34" spans="1:4">
      <c r="A34" s="24" t="s">
        <v>31</v>
      </c>
      <c r="B34" s="47">
        <v>0.2</v>
      </c>
      <c r="C34" s="49">
        <f t="shared" ref="C34:C41" si="1">ROUND(C$30*B34,2)</f>
        <v>508.2</v>
      </c>
      <c r="D34" s="37">
        <f t="shared" ref="D34:D42" si="2">C34*$B$12</f>
        <v>1016.4</v>
      </c>
    </row>
    <row r="35" spans="1:4">
      <c r="A35" s="24" t="s">
        <v>122</v>
      </c>
      <c r="B35" s="47">
        <v>1.4999999999999999E-2</v>
      </c>
      <c r="C35" s="49">
        <f t="shared" si="1"/>
        <v>38.119999999999997</v>
      </c>
      <c r="D35" s="37">
        <f t="shared" si="2"/>
        <v>76.239999999999995</v>
      </c>
    </row>
    <row r="36" spans="1:4">
      <c r="A36" s="24" t="s">
        <v>123</v>
      </c>
      <c r="B36" s="47">
        <v>0.01</v>
      </c>
      <c r="C36" s="49">
        <f t="shared" si="1"/>
        <v>25.41</v>
      </c>
      <c r="D36" s="37">
        <f t="shared" si="2"/>
        <v>50.82</v>
      </c>
    </row>
    <row r="37" spans="1:4">
      <c r="A37" s="24" t="s">
        <v>34</v>
      </c>
      <c r="B37" s="47">
        <v>2E-3</v>
      </c>
      <c r="C37" s="49">
        <f t="shared" si="1"/>
        <v>5.08</v>
      </c>
      <c r="D37" s="37">
        <f t="shared" si="2"/>
        <v>10.16</v>
      </c>
    </row>
    <row r="38" spans="1:4">
      <c r="A38" s="24" t="s">
        <v>35</v>
      </c>
      <c r="B38" s="47">
        <v>2.5000000000000001E-2</v>
      </c>
      <c r="C38" s="49">
        <f t="shared" si="1"/>
        <v>63.53</v>
      </c>
      <c r="D38" s="37">
        <f t="shared" si="2"/>
        <v>127.06</v>
      </c>
    </row>
    <row r="39" spans="1:4">
      <c r="A39" s="24" t="s">
        <v>36</v>
      </c>
      <c r="B39" s="47">
        <v>0.08</v>
      </c>
      <c r="C39" s="49">
        <f t="shared" si="1"/>
        <v>203.28</v>
      </c>
      <c r="D39" s="37">
        <f t="shared" si="2"/>
        <v>406.56</v>
      </c>
    </row>
    <row r="40" spans="1:4">
      <c r="A40" s="24" t="s">
        <v>37</v>
      </c>
      <c r="B40" s="47">
        <v>0.03</v>
      </c>
      <c r="C40" s="49">
        <f t="shared" si="1"/>
        <v>76.23</v>
      </c>
      <c r="D40" s="37">
        <f t="shared" si="2"/>
        <v>152.46</v>
      </c>
    </row>
    <row r="41" spans="1:4">
      <c r="A41" s="50" t="s">
        <v>38</v>
      </c>
      <c r="B41" s="51">
        <v>6.0000000000000001E-3</v>
      </c>
      <c r="C41" s="49">
        <f t="shared" si="1"/>
        <v>15.25</v>
      </c>
      <c r="D41" s="37">
        <f t="shared" si="2"/>
        <v>30.5</v>
      </c>
    </row>
    <row r="42" spans="1:4" s="45" customFormat="1">
      <c r="A42" s="46" t="s">
        <v>39</v>
      </c>
      <c r="B42" s="52">
        <f>SUM(B34:B41)</f>
        <v>0.3680000000000001</v>
      </c>
      <c r="C42" s="53">
        <f>TRUNC(SUM(C34:C41),2)</f>
        <v>935.1</v>
      </c>
      <c r="D42" s="44">
        <f t="shared" si="2"/>
        <v>1870.2</v>
      </c>
    </row>
    <row r="43" spans="1:4">
      <c r="A43" s="46"/>
      <c r="B43" s="52"/>
      <c r="C43" s="53"/>
      <c r="D43" s="37"/>
    </row>
    <row r="44" spans="1:4">
      <c r="A44" s="35" t="s">
        <v>40</v>
      </c>
      <c r="B44" s="52"/>
      <c r="C44" s="53"/>
      <c r="D44" s="37"/>
    </row>
    <row r="45" spans="1:4">
      <c r="A45" s="38" t="s">
        <v>30</v>
      </c>
      <c r="B45" s="52"/>
      <c r="C45" s="53"/>
      <c r="D45" s="37"/>
    </row>
    <row r="46" spans="1:4">
      <c r="A46" s="46" t="s">
        <v>41</v>
      </c>
      <c r="B46" s="36"/>
      <c r="C46" s="37"/>
      <c r="D46" s="37"/>
    </row>
    <row r="47" spans="1:4">
      <c r="A47" s="54" t="s">
        <v>42</v>
      </c>
      <c r="B47" s="55">
        <v>8.3299999999999999E-2</v>
      </c>
      <c r="C47" s="56">
        <f t="shared" ref="C47:C60" si="3">ROUND(C$30*B47,2)</f>
        <v>211.67</v>
      </c>
      <c r="D47" s="37">
        <f t="shared" ref="D47:D61" si="4">C47*$B$12</f>
        <v>423.34</v>
      </c>
    </row>
    <row r="48" spans="1:4">
      <c r="A48" s="54" t="s">
        <v>43</v>
      </c>
      <c r="B48" s="55">
        <v>7.9899999999999999E-2</v>
      </c>
      <c r="C48" s="56">
        <f t="shared" si="3"/>
        <v>203.03</v>
      </c>
      <c r="D48" s="37">
        <f t="shared" si="4"/>
        <v>406.06</v>
      </c>
    </row>
    <row r="49" spans="1:4">
      <c r="A49" s="24" t="s">
        <v>44</v>
      </c>
      <c r="B49" s="47">
        <v>2.7800000000000002E-2</v>
      </c>
      <c r="C49" s="56">
        <f t="shared" si="3"/>
        <v>70.64</v>
      </c>
      <c r="D49" s="37">
        <f t="shared" si="4"/>
        <v>141.28</v>
      </c>
    </row>
    <row r="50" spans="1:4">
      <c r="A50" s="24" t="s">
        <v>45</v>
      </c>
      <c r="B50" s="47">
        <v>6.6E-3</v>
      </c>
      <c r="C50" s="56">
        <f t="shared" si="3"/>
        <v>16.77</v>
      </c>
      <c r="D50" s="37">
        <f t="shared" si="4"/>
        <v>33.54</v>
      </c>
    </row>
    <row r="51" spans="1:4">
      <c r="A51" s="27" t="s">
        <v>46</v>
      </c>
      <c r="B51" s="57">
        <v>5.0000000000000001E-4</v>
      </c>
      <c r="C51" s="56">
        <f t="shared" si="3"/>
        <v>1.27</v>
      </c>
      <c r="D51" s="37">
        <f t="shared" si="4"/>
        <v>2.54</v>
      </c>
    </row>
    <row r="52" spans="1:4">
      <c r="A52" s="24" t="s">
        <v>121</v>
      </c>
      <c r="B52" s="47">
        <v>5.5999999999999999E-3</v>
      </c>
      <c r="C52" s="56">
        <f t="shared" si="3"/>
        <v>14.23</v>
      </c>
      <c r="D52" s="37">
        <f t="shared" si="4"/>
        <v>28.46</v>
      </c>
    </row>
    <row r="53" spans="1:4">
      <c r="A53" s="50" t="s">
        <v>124</v>
      </c>
      <c r="B53" s="51">
        <v>8.0000000000000004E-4</v>
      </c>
      <c r="C53" s="56">
        <f t="shared" si="3"/>
        <v>2.0299999999999998</v>
      </c>
      <c r="D53" s="37">
        <f t="shared" si="4"/>
        <v>4.0599999999999996</v>
      </c>
    </row>
    <row r="54" spans="1:4">
      <c r="A54" s="50" t="s">
        <v>125</v>
      </c>
      <c r="B54" s="51">
        <v>3.4700000000000002E-2</v>
      </c>
      <c r="C54" s="56">
        <f t="shared" si="3"/>
        <v>88.17</v>
      </c>
      <c r="D54" s="37">
        <f t="shared" si="4"/>
        <v>176.34</v>
      </c>
    </row>
    <row r="55" spans="1:4">
      <c r="A55" s="50" t="s">
        <v>126</v>
      </c>
      <c r="B55" s="51">
        <v>8.0000000000000004E-4</v>
      </c>
      <c r="C55" s="56">
        <f t="shared" si="3"/>
        <v>2.0299999999999998</v>
      </c>
      <c r="D55" s="37">
        <f t="shared" si="4"/>
        <v>4.0599999999999996</v>
      </c>
    </row>
    <row r="56" spans="1:4">
      <c r="A56" s="50" t="s">
        <v>127</v>
      </c>
      <c r="B56" s="51">
        <v>2.6100000000000002E-2</v>
      </c>
      <c r="C56" s="56">
        <f t="shared" si="3"/>
        <v>66.319999999999993</v>
      </c>
      <c r="D56" s="37">
        <f t="shared" si="4"/>
        <v>132.63999999999999</v>
      </c>
    </row>
    <row r="57" spans="1:4">
      <c r="A57" s="50" t="s">
        <v>128</v>
      </c>
      <c r="B57" s="51">
        <v>2.1100000000000001E-2</v>
      </c>
      <c r="C57" s="56">
        <f t="shared" si="3"/>
        <v>53.62</v>
      </c>
      <c r="D57" s="37">
        <f t="shared" si="4"/>
        <v>107.24</v>
      </c>
    </row>
    <row r="58" spans="1:4">
      <c r="A58" s="50" t="s">
        <v>129</v>
      </c>
      <c r="B58" s="51">
        <v>2.8999999999999998E-3</v>
      </c>
      <c r="C58" s="56">
        <f t="shared" si="3"/>
        <v>7.37</v>
      </c>
      <c r="D58" s="37">
        <f t="shared" si="4"/>
        <v>14.74</v>
      </c>
    </row>
    <row r="59" spans="1:4">
      <c r="A59" s="50" t="s">
        <v>130</v>
      </c>
      <c r="B59" s="51">
        <v>2.9700000000000001E-2</v>
      </c>
      <c r="C59" s="56">
        <f t="shared" si="3"/>
        <v>75.47</v>
      </c>
      <c r="D59" s="37">
        <f t="shared" si="4"/>
        <v>150.94</v>
      </c>
    </row>
    <row r="60" spans="1:4">
      <c r="A60" s="50" t="s">
        <v>131</v>
      </c>
      <c r="B60" s="51">
        <v>2.8999999999999998E-3</v>
      </c>
      <c r="C60" s="56">
        <f t="shared" si="3"/>
        <v>7.37</v>
      </c>
      <c r="D60" s="37">
        <f t="shared" si="4"/>
        <v>14.74</v>
      </c>
    </row>
    <row r="61" spans="1:4" s="45" customFormat="1">
      <c r="A61" s="46" t="s">
        <v>47</v>
      </c>
      <c r="B61" s="52">
        <f>SUM(B47:B60)</f>
        <v>0.32270000000000004</v>
      </c>
      <c r="C61" s="44">
        <f>ROUND(SUM(C47:C53),2)</f>
        <v>519.64</v>
      </c>
      <c r="D61" s="44">
        <f t="shared" si="4"/>
        <v>1039.28</v>
      </c>
    </row>
    <row r="62" spans="1:4">
      <c r="A62" s="46"/>
      <c r="B62" s="52"/>
      <c r="C62" s="37"/>
      <c r="D62" s="37"/>
    </row>
    <row r="63" spans="1:4" s="45" customFormat="1">
      <c r="A63" s="46" t="s">
        <v>80</v>
      </c>
      <c r="B63" s="52">
        <f>+B61</f>
        <v>0.32270000000000004</v>
      </c>
      <c r="C63" s="44">
        <f>+C61</f>
        <v>519.64</v>
      </c>
      <c r="D63" s="44">
        <f>C63*$B$12</f>
        <v>1039.28</v>
      </c>
    </row>
    <row r="64" spans="1:4">
      <c r="A64" s="46"/>
      <c r="B64" s="52"/>
      <c r="C64" s="37"/>
      <c r="D64" s="44"/>
    </row>
    <row r="65" spans="1:4" s="45" customFormat="1">
      <c r="A65" s="46" t="s">
        <v>48</v>
      </c>
      <c r="B65" s="59" t="s">
        <v>49</v>
      </c>
      <c r="C65" s="60">
        <f>C30+C63+C42</f>
        <v>3995.74</v>
      </c>
      <c r="D65" s="44">
        <f>C65*$B$12</f>
        <v>7991.48</v>
      </c>
    </row>
    <row r="66" spans="1:4">
      <c r="A66" s="128"/>
      <c r="B66" s="128"/>
      <c r="C66" s="128"/>
      <c r="D66" s="128"/>
    </row>
    <row r="67" spans="1:4">
      <c r="A67" s="128"/>
      <c r="B67" s="128"/>
      <c r="C67" s="128"/>
      <c r="D67" s="128"/>
    </row>
    <row r="68" spans="1:4">
      <c r="A68" s="15" t="s">
        <v>77</v>
      </c>
      <c r="B68" s="33" t="s">
        <v>20</v>
      </c>
      <c r="C68" s="34" t="str">
        <f>C22</f>
        <v>POR POSTO MENSAL</v>
      </c>
      <c r="D68" s="34" t="str">
        <f>D22</f>
        <v>POR 2 POSTOS</v>
      </c>
    </row>
    <row r="69" spans="1:4">
      <c r="A69" s="27" t="s">
        <v>136</v>
      </c>
      <c r="B69" s="61" t="s">
        <v>49</v>
      </c>
      <c r="C69" s="37">
        <v>220.75</v>
      </c>
      <c r="D69" s="37">
        <f t="shared" ref="D69:D74" si="5">C69*$B$12</f>
        <v>441.5</v>
      </c>
    </row>
    <row r="70" spans="1:4">
      <c r="A70" s="38" t="s">
        <v>135</v>
      </c>
      <c r="B70" s="47" t="s">
        <v>49</v>
      </c>
      <c r="C70" s="37">
        <v>0</v>
      </c>
      <c r="D70" s="37">
        <f t="shared" si="5"/>
        <v>0</v>
      </c>
    </row>
    <row r="71" spans="1:4">
      <c r="A71" s="24" t="s">
        <v>134</v>
      </c>
      <c r="B71" s="47" t="s">
        <v>49</v>
      </c>
      <c r="C71" s="37">
        <v>11.8</v>
      </c>
      <c r="D71" s="37">
        <f t="shared" si="5"/>
        <v>23.6</v>
      </c>
    </row>
    <row r="72" spans="1:4">
      <c r="A72" s="40" t="s">
        <v>132</v>
      </c>
      <c r="B72" s="51" t="s">
        <v>49</v>
      </c>
      <c r="C72" s="58">
        <v>7.77</v>
      </c>
      <c r="D72" s="37">
        <f t="shared" si="5"/>
        <v>15.54</v>
      </c>
    </row>
    <row r="73" spans="1:4">
      <c r="A73" s="40" t="s">
        <v>133</v>
      </c>
      <c r="B73" s="51" t="s">
        <v>49</v>
      </c>
      <c r="C73" s="58">
        <v>302.39999999999998</v>
      </c>
      <c r="D73" s="37">
        <f t="shared" si="5"/>
        <v>604.79999999999995</v>
      </c>
    </row>
    <row r="74" spans="1:4" s="45" customFormat="1">
      <c r="A74" s="46" t="s">
        <v>55</v>
      </c>
      <c r="B74" s="59"/>
      <c r="C74" s="44">
        <f>SUM(C69:C73)</f>
        <v>542.72</v>
      </c>
      <c r="D74" s="44">
        <f t="shared" si="5"/>
        <v>1085.44</v>
      </c>
    </row>
    <row r="75" spans="1:4" ht="13.5" customHeight="1">
      <c r="A75" s="129"/>
      <c r="B75" s="129"/>
      <c r="C75" s="129"/>
      <c r="D75" s="129"/>
    </row>
    <row r="76" spans="1:4">
      <c r="A76" s="63"/>
      <c r="B76" s="130"/>
      <c r="C76" s="130"/>
      <c r="D76" s="130"/>
    </row>
    <row r="77" spans="1:4" ht="17.25" customHeight="1">
      <c r="A77" s="131"/>
      <c r="B77" s="131"/>
      <c r="C77" s="131"/>
      <c r="D77" s="131"/>
    </row>
    <row r="78" spans="1:4">
      <c r="A78" s="64" t="s">
        <v>111</v>
      </c>
      <c r="B78" s="33" t="s">
        <v>20</v>
      </c>
      <c r="C78" s="34" t="str">
        <f>C68</f>
        <v>POR POSTO MENSAL</v>
      </c>
      <c r="D78" s="34" t="str">
        <f>D68</f>
        <v>POR 2 POSTOS</v>
      </c>
    </row>
    <row r="79" spans="1:4" s="68" customFormat="1" ht="16.2">
      <c r="A79" s="65" t="s">
        <v>56</v>
      </c>
      <c r="B79" s="66" t="s">
        <v>49</v>
      </c>
      <c r="C79" s="67">
        <f>C65</f>
        <v>3995.74</v>
      </c>
      <c r="D79" s="67">
        <f>C79*B12</f>
        <v>7991.48</v>
      </c>
    </row>
    <row r="80" spans="1:4" s="68" customFormat="1" ht="15.75" customHeight="1">
      <c r="A80" s="69" t="s">
        <v>75</v>
      </c>
      <c r="B80" s="70" t="s">
        <v>49</v>
      </c>
      <c r="C80" s="67">
        <f>C74</f>
        <v>542.72</v>
      </c>
      <c r="D80" s="67">
        <f>C80*B12</f>
        <v>1085.44</v>
      </c>
    </row>
    <row r="81" spans="1:4" s="68" customFormat="1" ht="15.75" customHeight="1">
      <c r="A81" s="132"/>
      <c r="B81" s="132"/>
      <c r="C81" s="132"/>
      <c r="D81" s="132"/>
    </row>
    <row r="82" spans="1:4" s="73" customFormat="1" ht="16.8">
      <c r="A82" s="133" t="s">
        <v>112</v>
      </c>
      <c r="B82" s="133"/>
      <c r="C82" s="71">
        <f>SUM(C79:C80)</f>
        <v>4538.46</v>
      </c>
      <c r="D82" s="72">
        <f>C82*B12</f>
        <v>9076.92</v>
      </c>
    </row>
    <row r="83" spans="1:4" s="73" customFormat="1" ht="16.8">
      <c r="A83" s="124"/>
      <c r="B83" s="124"/>
      <c r="C83" s="124"/>
      <c r="D83" s="124"/>
    </row>
    <row r="84" spans="1:4" ht="13.5" customHeight="1">
      <c r="A84" s="74"/>
      <c r="B84" s="75"/>
      <c r="C84" s="75"/>
      <c r="D84" s="76"/>
    </row>
    <row r="85" spans="1:4" ht="16.2">
      <c r="A85" s="77" t="s">
        <v>113</v>
      </c>
      <c r="B85" s="78"/>
      <c r="C85" s="34" t="str">
        <f>C78</f>
        <v>POR POSTO MENSAL</v>
      </c>
      <c r="D85" s="34" t="s">
        <v>140</v>
      </c>
    </row>
    <row r="86" spans="1:4" s="82" customFormat="1" ht="16.2">
      <c r="A86" s="79" t="s">
        <v>57</v>
      </c>
      <c r="B86" s="80">
        <v>12</v>
      </c>
      <c r="C86" s="81">
        <f>C82</f>
        <v>4538.46</v>
      </c>
      <c r="D86" s="81">
        <f>D82*12</f>
        <v>108923.04000000001</v>
      </c>
    </row>
  </sheetData>
  <customSheetViews>
    <customSheetView guid="{461F8A0A-C29B-483D-910F-93FC5302E5D9}" scale="85" showGridLines="0">
      <selection activeCell="C18" sqref="C18"/>
      <pageMargins left="0.7" right="0.39374999999999999" top="0.70833333333333337" bottom="0.39374999999999999" header="0.35416666666666669" footer="0.51180555555555551"/>
      <printOptions horizontalCentered="1"/>
      <pageSetup paperSize="9" scale="74" firstPageNumber="0" orientation="portrait" horizontalDpi="300" verticalDpi="300"/>
      <headerFooter alignWithMargins="0">
        <oddHeader>&amp;R&amp;P</oddHeader>
      </headerFooter>
    </customSheetView>
    <customSheetView guid="{4B39978F-C1D9-4D15-B3CB-C4C71337D1CF}" scale="85" showGridLines="0">
      <selection activeCell="C18" sqref="C18"/>
      <pageMargins left="0.7" right="0.39374999999999999" top="0.70833333333333337" bottom="0.39374999999999999" header="0.35416666666666669" footer="0.51180555555555551"/>
      <printOptions horizontalCentered="1"/>
      <pageSetup paperSize="9" scale="74" firstPageNumber="0" orientation="portrait" horizontalDpi="300" verticalDpi="300"/>
      <headerFooter alignWithMargins="0">
        <oddHeader>&amp;R&amp;P</oddHeader>
      </headerFooter>
    </customSheetView>
  </customSheetViews>
  <mergeCells count="24">
    <mergeCell ref="C17:D17"/>
    <mergeCell ref="A1:C1"/>
    <mergeCell ref="A2:D2"/>
    <mergeCell ref="C7:D7"/>
    <mergeCell ref="C8:D8"/>
    <mergeCell ref="C9:D9"/>
    <mergeCell ref="C10:D10"/>
    <mergeCell ref="C11:D11"/>
    <mergeCell ref="C12:D12"/>
    <mergeCell ref="C13:D13"/>
    <mergeCell ref="A14:D14"/>
    <mergeCell ref="C16:D16"/>
    <mergeCell ref="A83:D83"/>
    <mergeCell ref="C18:D18"/>
    <mergeCell ref="C19:D19"/>
    <mergeCell ref="C20:D20"/>
    <mergeCell ref="C21:D21"/>
    <mergeCell ref="A66:D66"/>
    <mergeCell ref="A67:D67"/>
    <mergeCell ref="A75:D75"/>
    <mergeCell ref="B76:D76"/>
    <mergeCell ref="A77:D77"/>
    <mergeCell ref="A81:D81"/>
    <mergeCell ref="A82:B82"/>
  </mergeCells>
  <printOptions horizontalCentered="1"/>
  <pageMargins left="0.7" right="0.39374999999999999" top="0.70833333333333337" bottom="0.39374999999999999" header="0.35416666666666669" footer="0.51180555555555551"/>
  <pageSetup paperSize="9" scale="74" firstPageNumber="0" orientation="landscape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5"/>
  <dimension ref="A1:D81"/>
  <sheetViews>
    <sheetView showGridLines="0" zoomScale="70" zoomScaleNormal="70" zoomScaleSheetLayoutView="115" workbookViewId="0">
      <selection activeCell="A14" sqref="A14:D14"/>
    </sheetView>
  </sheetViews>
  <sheetFormatPr defaultColWidth="9.109375" defaultRowHeight="13.8"/>
  <cols>
    <col min="1" max="1" width="63.44140625" style="1" customWidth="1"/>
    <col min="2" max="2" width="14.5546875" style="2" bestFit="1" customWidth="1"/>
    <col min="3" max="3" width="29.44140625" style="3" customWidth="1"/>
    <col min="4" max="4" width="40.5546875" style="3" customWidth="1"/>
    <col min="5" max="16384" width="9.109375" style="1"/>
  </cols>
  <sheetData>
    <row r="1" spans="1:4" ht="8.25" customHeight="1">
      <c r="A1" s="135"/>
      <c r="B1" s="135"/>
      <c r="C1" s="135"/>
      <c r="D1" s="4"/>
    </row>
    <row r="2" spans="1:4" ht="19.5" customHeight="1">
      <c r="A2" s="136" t="s">
        <v>0</v>
      </c>
      <c r="B2" s="136"/>
      <c r="C2" s="136"/>
      <c r="D2" s="136"/>
    </row>
    <row r="3" spans="1:4" ht="19.5" customHeight="1">
      <c r="A3" s="5"/>
      <c r="B3" s="5"/>
      <c r="C3" s="5"/>
      <c r="D3" s="5"/>
    </row>
    <row r="4" spans="1:4" ht="16.2">
      <c r="A4" s="6" t="s">
        <v>1</v>
      </c>
      <c r="B4" s="7" t="str">
        <f>'RESUMO FINAL'!$C$4</f>
        <v>X</v>
      </c>
      <c r="C4" s="8" t="s">
        <v>2</v>
      </c>
      <c r="D4" s="9"/>
    </row>
    <row r="5" spans="1:4" ht="15.6">
      <c r="A5" s="10"/>
      <c r="B5" s="11">
        <f>'RESUMO FINAL'!$C$5</f>
        <v>0</v>
      </c>
      <c r="C5" s="12" t="s">
        <v>3</v>
      </c>
      <c r="D5" s="13"/>
    </row>
    <row r="6" spans="1:4" ht="14.4">
      <c r="A6" s="10"/>
      <c r="B6" s="14"/>
      <c r="C6" s="13"/>
      <c r="D6" s="13"/>
    </row>
    <row r="7" spans="1:4">
      <c r="A7" s="15" t="s">
        <v>4</v>
      </c>
      <c r="B7" s="16" t="s">
        <v>5</v>
      </c>
      <c r="C7" s="137" t="s">
        <v>6</v>
      </c>
      <c r="D7" s="137"/>
    </row>
    <row r="8" spans="1:4" s="19" customFormat="1">
      <c r="A8" s="17" t="s">
        <v>7</v>
      </c>
      <c r="B8" s="18"/>
      <c r="C8" s="125"/>
      <c r="D8" s="125"/>
    </row>
    <row r="9" spans="1:4" ht="16.2">
      <c r="A9" s="20" t="s">
        <v>8</v>
      </c>
      <c r="B9" s="21">
        <v>8</v>
      </c>
      <c r="C9" s="138" t="s">
        <v>58</v>
      </c>
      <c r="D9" s="138"/>
    </row>
    <row r="10" spans="1:4" ht="16.2">
      <c r="A10" s="20" t="s">
        <v>9</v>
      </c>
      <c r="B10" s="21"/>
      <c r="C10" s="138" t="s">
        <v>84</v>
      </c>
      <c r="D10" s="138"/>
    </row>
    <row r="11" spans="1:4" ht="16.2">
      <c r="A11" s="20" t="s">
        <v>10</v>
      </c>
      <c r="B11" s="22">
        <v>176</v>
      </c>
      <c r="C11" s="138" t="s">
        <v>72</v>
      </c>
      <c r="D11" s="138"/>
    </row>
    <row r="12" spans="1:4" ht="16.2">
      <c r="A12" s="20" t="s">
        <v>11</v>
      </c>
      <c r="B12" s="22">
        <v>13</v>
      </c>
      <c r="C12" s="128" t="s">
        <v>116</v>
      </c>
      <c r="D12" s="128"/>
    </row>
    <row r="13" spans="1:4" ht="16.2">
      <c r="A13" s="20" t="s">
        <v>12</v>
      </c>
      <c r="B13" s="22">
        <v>13</v>
      </c>
      <c r="C13" s="128"/>
      <c r="D13" s="128"/>
    </row>
    <row r="14" spans="1:4">
      <c r="A14" s="139"/>
      <c r="B14" s="139"/>
      <c r="C14" s="139"/>
      <c r="D14" s="139"/>
    </row>
    <row r="15" spans="1:4">
      <c r="A15" s="23" t="s">
        <v>13</v>
      </c>
      <c r="B15" s="83"/>
      <c r="C15" s="84" t="s">
        <v>14</v>
      </c>
      <c r="D15" s="83"/>
    </row>
    <row r="16" spans="1:4" s="26" customFormat="1" ht="14.4">
      <c r="A16" s="24" t="s">
        <v>69</v>
      </c>
      <c r="B16" s="25"/>
      <c r="C16" s="140">
        <v>1687.48</v>
      </c>
      <c r="D16" s="140"/>
    </row>
    <row r="17" spans="1:4" s="26" customFormat="1" ht="15" customHeight="1">
      <c r="A17" s="24" t="s">
        <v>15</v>
      </c>
      <c r="B17" s="28"/>
      <c r="C17" s="134" t="s">
        <v>70</v>
      </c>
      <c r="D17" s="134"/>
    </row>
    <row r="18" spans="1:4">
      <c r="A18" s="24" t="s">
        <v>16</v>
      </c>
      <c r="B18" s="29"/>
      <c r="C18" s="125" t="s">
        <v>71</v>
      </c>
      <c r="D18" s="125"/>
    </row>
    <row r="19" spans="1:4">
      <c r="A19" s="24" t="s">
        <v>17</v>
      </c>
      <c r="B19" s="29"/>
      <c r="C19" s="126">
        <v>44941</v>
      </c>
      <c r="D19" s="126"/>
    </row>
    <row r="20" spans="1:4">
      <c r="A20" s="24" t="s">
        <v>18</v>
      </c>
      <c r="B20" s="30"/>
      <c r="C20" s="127" t="s">
        <v>117</v>
      </c>
      <c r="D20" s="127"/>
    </row>
    <row r="21" spans="1:4">
      <c r="A21" s="20"/>
      <c r="B21" s="31"/>
      <c r="C21" s="125"/>
      <c r="D21" s="125"/>
    </row>
    <row r="22" spans="1:4">
      <c r="A22" s="32" t="s">
        <v>19</v>
      </c>
      <c r="B22" s="33" t="s">
        <v>20</v>
      </c>
      <c r="C22" s="34" t="s">
        <v>74</v>
      </c>
      <c r="D22" s="34" t="str">
        <f>"POR"&amp;" "&amp;B12&amp;" "&amp;"POSTOS"</f>
        <v>POR 13 POSTOS</v>
      </c>
    </row>
    <row r="23" spans="1:4">
      <c r="A23" s="35" t="s">
        <v>21</v>
      </c>
      <c r="B23" s="36"/>
      <c r="C23" s="37"/>
      <c r="D23" s="37"/>
    </row>
    <row r="24" spans="1:4">
      <c r="A24" s="38" t="s">
        <v>22</v>
      </c>
      <c r="B24" s="39">
        <f>B11</f>
        <v>176</v>
      </c>
      <c r="C24" s="37">
        <f>C16/176*B24</f>
        <v>1687.48</v>
      </c>
      <c r="D24" s="37">
        <f t="shared" ref="D24:D30" si="0">C24*$B$12</f>
        <v>21937.24</v>
      </c>
    </row>
    <row r="25" spans="1:4">
      <c r="A25" s="38" t="s">
        <v>23</v>
      </c>
      <c r="B25" s="39">
        <v>40</v>
      </c>
      <c r="C25" s="37">
        <f>C24*B25%</f>
        <v>674.99200000000008</v>
      </c>
      <c r="D25" s="37">
        <f t="shared" si="0"/>
        <v>8774.8960000000006</v>
      </c>
    </row>
    <row r="26" spans="1:4">
      <c r="A26" s="38" t="s">
        <v>24</v>
      </c>
      <c r="B26" s="39">
        <v>0</v>
      </c>
      <c r="C26" s="37">
        <f>C24*B26%</f>
        <v>0</v>
      </c>
      <c r="D26" s="37">
        <f t="shared" si="0"/>
        <v>0</v>
      </c>
    </row>
    <row r="27" spans="1:4">
      <c r="A27" s="38" t="s">
        <v>25</v>
      </c>
      <c r="B27" s="39">
        <v>0</v>
      </c>
      <c r="C27" s="37">
        <f>(((C24+C25+C26)/220)+((C24+C25+C26)/220*20%))*B27</f>
        <v>0</v>
      </c>
      <c r="D27" s="37">
        <f t="shared" si="0"/>
        <v>0</v>
      </c>
    </row>
    <row r="28" spans="1:4">
      <c r="A28" s="40" t="s">
        <v>26</v>
      </c>
      <c r="B28" s="39">
        <v>0</v>
      </c>
      <c r="C28" s="37">
        <f>(((C24+C25+C26)/220)*1.5)*B28</f>
        <v>0</v>
      </c>
      <c r="D28" s="37">
        <f t="shared" si="0"/>
        <v>0</v>
      </c>
    </row>
    <row r="29" spans="1:4">
      <c r="A29" s="40" t="s">
        <v>27</v>
      </c>
      <c r="B29" s="39">
        <v>0</v>
      </c>
      <c r="C29" s="37">
        <f>(((C24+C25+C26)/220)*1.5)*B29</f>
        <v>0</v>
      </c>
      <c r="D29" s="37">
        <f t="shared" si="0"/>
        <v>0</v>
      </c>
    </row>
    <row r="30" spans="1:4" s="45" customFormat="1">
      <c r="A30" s="41" t="s">
        <v>28</v>
      </c>
      <c r="B30" s="42"/>
      <c r="C30" s="43">
        <f>SUM(C24:C29)</f>
        <v>2362.4720000000002</v>
      </c>
      <c r="D30" s="44">
        <f t="shared" si="0"/>
        <v>30712.136000000002</v>
      </c>
    </row>
    <row r="31" spans="1:4">
      <c r="A31" s="46"/>
      <c r="B31" s="47"/>
      <c r="C31" s="37"/>
      <c r="D31" s="37"/>
    </row>
    <row r="32" spans="1:4">
      <c r="A32" s="35" t="s">
        <v>29</v>
      </c>
      <c r="B32" s="36"/>
      <c r="C32" s="37"/>
      <c r="D32" s="37"/>
    </row>
    <row r="33" spans="1:4">
      <c r="A33" s="38" t="s">
        <v>30</v>
      </c>
      <c r="B33" s="36"/>
      <c r="C33" s="48"/>
      <c r="D33" s="48"/>
    </row>
    <row r="34" spans="1:4">
      <c r="A34" s="24" t="s">
        <v>31</v>
      </c>
      <c r="B34" s="47">
        <v>0.2</v>
      </c>
      <c r="C34" s="49">
        <f t="shared" ref="C34:C41" si="1">ROUND(C$30*B34,2)</f>
        <v>472.49</v>
      </c>
      <c r="D34" s="37">
        <f t="shared" ref="D34:D42" si="2">C34*$B$12</f>
        <v>6142.37</v>
      </c>
    </row>
    <row r="35" spans="1:4">
      <c r="A35" s="24" t="s">
        <v>32</v>
      </c>
      <c r="B35" s="47">
        <v>1.4999999999999999E-2</v>
      </c>
      <c r="C35" s="49">
        <f t="shared" si="1"/>
        <v>35.44</v>
      </c>
      <c r="D35" s="37">
        <f t="shared" si="2"/>
        <v>460.71999999999997</v>
      </c>
    </row>
    <row r="36" spans="1:4">
      <c r="A36" s="24" t="s">
        <v>33</v>
      </c>
      <c r="B36" s="47">
        <v>0.01</v>
      </c>
      <c r="C36" s="49">
        <f t="shared" si="1"/>
        <v>23.62</v>
      </c>
      <c r="D36" s="37">
        <f t="shared" si="2"/>
        <v>307.06</v>
      </c>
    </row>
    <row r="37" spans="1:4">
      <c r="A37" s="24" t="s">
        <v>34</v>
      </c>
      <c r="B37" s="47">
        <v>2E-3</v>
      </c>
      <c r="C37" s="49">
        <f t="shared" si="1"/>
        <v>4.72</v>
      </c>
      <c r="D37" s="37">
        <f t="shared" si="2"/>
        <v>61.36</v>
      </c>
    </row>
    <row r="38" spans="1:4">
      <c r="A38" s="24" t="s">
        <v>35</v>
      </c>
      <c r="B38" s="47">
        <v>2.5000000000000001E-2</v>
      </c>
      <c r="C38" s="49">
        <f t="shared" si="1"/>
        <v>59.06</v>
      </c>
      <c r="D38" s="37">
        <f t="shared" si="2"/>
        <v>767.78</v>
      </c>
    </row>
    <row r="39" spans="1:4">
      <c r="A39" s="24" t="s">
        <v>36</v>
      </c>
      <c r="B39" s="47">
        <v>0.08</v>
      </c>
      <c r="C39" s="49">
        <f t="shared" si="1"/>
        <v>189</v>
      </c>
      <c r="D39" s="37">
        <f t="shared" si="2"/>
        <v>2457</v>
      </c>
    </row>
    <row r="40" spans="1:4">
      <c r="A40" s="24" t="s">
        <v>37</v>
      </c>
      <c r="B40" s="47">
        <v>0.03</v>
      </c>
      <c r="C40" s="49">
        <f t="shared" si="1"/>
        <v>70.87</v>
      </c>
      <c r="D40" s="37">
        <f t="shared" si="2"/>
        <v>921.31000000000006</v>
      </c>
    </row>
    <row r="41" spans="1:4">
      <c r="A41" s="50" t="s">
        <v>38</v>
      </c>
      <c r="B41" s="51">
        <v>6.0000000000000001E-3</v>
      </c>
      <c r="C41" s="49">
        <f t="shared" si="1"/>
        <v>14.17</v>
      </c>
      <c r="D41" s="37">
        <f t="shared" si="2"/>
        <v>184.21</v>
      </c>
    </row>
    <row r="42" spans="1:4" s="45" customFormat="1">
      <c r="A42" s="46" t="s">
        <v>39</v>
      </c>
      <c r="B42" s="52">
        <f>SUM(B34:B41)</f>
        <v>0.3680000000000001</v>
      </c>
      <c r="C42" s="53">
        <f>TRUNC(SUM(C34:C41),2)</f>
        <v>869.37</v>
      </c>
      <c r="D42" s="44">
        <f t="shared" si="2"/>
        <v>11301.81</v>
      </c>
    </row>
    <row r="43" spans="1:4">
      <c r="A43" s="46"/>
      <c r="B43" s="52"/>
      <c r="C43" s="53"/>
      <c r="D43" s="37"/>
    </row>
    <row r="44" spans="1:4">
      <c r="A44" s="35" t="s">
        <v>40</v>
      </c>
      <c r="B44" s="52"/>
      <c r="C44" s="53"/>
      <c r="D44" s="37"/>
    </row>
    <row r="45" spans="1:4">
      <c r="A45" s="38" t="s">
        <v>30</v>
      </c>
      <c r="B45" s="52"/>
      <c r="C45" s="53"/>
      <c r="D45" s="37"/>
    </row>
    <row r="46" spans="1:4">
      <c r="A46" s="46" t="s">
        <v>41</v>
      </c>
      <c r="B46" s="36"/>
      <c r="C46" s="37"/>
      <c r="D46" s="37"/>
    </row>
    <row r="47" spans="1:4">
      <c r="A47" s="54" t="s">
        <v>42</v>
      </c>
      <c r="B47" s="55">
        <v>8.3299999999999999E-2</v>
      </c>
      <c r="C47" s="56">
        <f t="shared" ref="C47:C55" si="3">ROUND(C$30*B47,2)</f>
        <v>196.79</v>
      </c>
      <c r="D47" s="37">
        <f t="shared" ref="D47:D56" si="4">C47*$B$12</f>
        <v>2558.27</v>
      </c>
    </row>
    <row r="48" spans="1:4">
      <c r="A48" s="54" t="s">
        <v>43</v>
      </c>
      <c r="B48" s="55">
        <v>0.1111</v>
      </c>
      <c r="C48" s="56">
        <f t="shared" si="3"/>
        <v>262.47000000000003</v>
      </c>
      <c r="D48" s="37">
        <f t="shared" si="4"/>
        <v>3412.1100000000006</v>
      </c>
    </row>
    <row r="49" spans="1:4">
      <c r="A49" s="24" t="s">
        <v>44</v>
      </c>
      <c r="B49" s="47">
        <v>2.7800000000000002E-2</v>
      </c>
      <c r="C49" s="56">
        <f t="shared" si="3"/>
        <v>65.680000000000007</v>
      </c>
      <c r="D49" s="37">
        <f t="shared" si="4"/>
        <v>853.84000000000015</v>
      </c>
    </row>
    <row r="50" spans="1:4">
      <c r="A50" s="24" t="s">
        <v>45</v>
      </c>
      <c r="B50" s="47">
        <v>1.3899999999999999E-2</v>
      </c>
      <c r="C50" s="56">
        <f t="shared" si="3"/>
        <v>32.840000000000003</v>
      </c>
      <c r="D50" s="37">
        <f t="shared" si="4"/>
        <v>426.92000000000007</v>
      </c>
    </row>
    <row r="51" spans="1:4">
      <c r="A51" s="27" t="s">
        <v>46</v>
      </c>
      <c r="B51" s="57">
        <v>1.1000000000000001E-3</v>
      </c>
      <c r="C51" s="56">
        <f t="shared" si="3"/>
        <v>2.6</v>
      </c>
      <c r="D51" s="37">
        <f t="shared" si="4"/>
        <v>33.800000000000004</v>
      </c>
    </row>
    <row r="52" spans="1:4">
      <c r="A52" s="24" t="s">
        <v>121</v>
      </c>
      <c r="B52" s="47">
        <v>2.8000000000000004E-3</v>
      </c>
      <c r="C52" s="56">
        <f t="shared" si="3"/>
        <v>6.61</v>
      </c>
      <c r="D52" s="37">
        <f>C52*$B$12</f>
        <v>85.93</v>
      </c>
    </row>
    <row r="53" spans="1:4">
      <c r="A53" s="50" t="s">
        <v>118</v>
      </c>
      <c r="B53" s="51" t="s">
        <v>49</v>
      </c>
      <c r="C53" s="56">
        <v>196.02</v>
      </c>
      <c r="D53" s="37">
        <f t="shared" ref="D53:D54" si="5">C53*$B$12</f>
        <v>2548.2600000000002</v>
      </c>
    </row>
    <row r="54" spans="1:4">
      <c r="A54" s="50" t="s">
        <v>119</v>
      </c>
      <c r="B54" s="51" t="s">
        <v>49</v>
      </c>
      <c r="C54" s="56">
        <v>392.04</v>
      </c>
      <c r="D54" s="37">
        <f t="shared" si="5"/>
        <v>5096.5200000000004</v>
      </c>
    </row>
    <row r="55" spans="1:4">
      <c r="A55" s="50" t="s">
        <v>120</v>
      </c>
      <c r="B55" s="51">
        <v>2.9999999999999997E-4</v>
      </c>
      <c r="C55" s="56">
        <f t="shared" si="3"/>
        <v>0.71</v>
      </c>
      <c r="D55" s="37">
        <f t="shared" si="4"/>
        <v>9.23</v>
      </c>
    </row>
    <row r="56" spans="1:4" s="45" customFormat="1">
      <c r="A56" s="46" t="s">
        <v>47</v>
      </c>
      <c r="B56" s="52">
        <f>SUM(B47:B55)</f>
        <v>0.24029999999999999</v>
      </c>
      <c r="C56" s="44">
        <f>ROUND(SUM(C47:C55),2)</f>
        <v>1155.76</v>
      </c>
      <c r="D56" s="44">
        <f t="shared" si="4"/>
        <v>15024.88</v>
      </c>
    </row>
    <row r="57" spans="1:4">
      <c r="A57" s="46"/>
      <c r="B57" s="52"/>
      <c r="C57" s="37"/>
      <c r="D57" s="37"/>
    </row>
    <row r="58" spans="1:4" s="45" customFormat="1">
      <c r="A58" s="46" t="s">
        <v>76</v>
      </c>
      <c r="B58" s="52">
        <f>+B56</f>
        <v>0.24029999999999999</v>
      </c>
      <c r="C58" s="44">
        <f>+C56</f>
        <v>1155.76</v>
      </c>
      <c r="D58" s="44">
        <f>C58*$B$12</f>
        <v>15024.88</v>
      </c>
    </row>
    <row r="59" spans="1:4">
      <c r="A59" s="46"/>
      <c r="B59" s="52"/>
      <c r="C59" s="37"/>
      <c r="D59" s="44"/>
    </row>
    <row r="60" spans="1:4" s="45" customFormat="1">
      <c r="A60" s="46" t="s">
        <v>48</v>
      </c>
      <c r="B60" s="59" t="s">
        <v>49</v>
      </c>
      <c r="C60" s="60">
        <f>C30+C58+C42</f>
        <v>4387.6019999999999</v>
      </c>
      <c r="D60" s="44">
        <f>C60*$B$12</f>
        <v>57038.826000000001</v>
      </c>
    </row>
    <row r="61" spans="1:4">
      <c r="A61" s="128"/>
      <c r="B61" s="128"/>
      <c r="C61" s="128"/>
      <c r="D61" s="128"/>
    </row>
    <row r="62" spans="1:4">
      <c r="A62" s="128"/>
      <c r="B62" s="128"/>
      <c r="C62" s="128"/>
      <c r="D62" s="128"/>
    </row>
    <row r="63" spans="1:4">
      <c r="A63" s="15" t="s">
        <v>77</v>
      </c>
      <c r="B63" s="33" t="s">
        <v>20</v>
      </c>
      <c r="C63" s="34" t="str">
        <f>C22</f>
        <v>POR POSTO MENSAL</v>
      </c>
      <c r="D63" s="34" t="str">
        <f>D22</f>
        <v>POR 13 POSTOS</v>
      </c>
    </row>
    <row r="64" spans="1:4" s="62" customFormat="1">
      <c r="A64" s="27" t="s">
        <v>50</v>
      </c>
      <c r="B64" s="61" t="s">
        <v>49</v>
      </c>
      <c r="C64" s="37">
        <v>42</v>
      </c>
      <c r="D64" s="37">
        <f t="shared" ref="D64:D69" si="6">C64*$B$12</f>
        <v>546</v>
      </c>
    </row>
    <row r="65" spans="1:4">
      <c r="A65" s="27" t="s">
        <v>51</v>
      </c>
      <c r="B65" s="61" t="s">
        <v>49</v>
      </c>
      <c r="C65" s="37">
        <v>23</v>
      </c>
      <c r="D65" s="37">
        <f t="shared" si="6"/>
        <v>299</v>
      </c>
    </row>
    <row r="66" spans="1:4">
      <c r="A66" s="38" t="s">
        <v>52</v>
      </c>
      <c r="B66" s="47" t="s">
        <v>49</v>
      </c>
      <c r="C66" s="37">
        <v>0</v>
      </c>
      <c r="D66" s="37">
        <f t="shared" si="6"/>
        <v>0</v>
      </c>
    </row>
    <row r="67" spans="1:4">
      <c r="A67" s="24" t="s">
        <v>53</v>
      </c>
      <c r="B67" s="47" t="s">
        <v>49</v>
      </c>
      <c r="C67" s="37">
        <v>4.16</v>
      </c>
      <c r="D67" s="37">
        <f t="shared" si="6"/>
        <v>54.08</v>
      </c>
    </row>
    <row r="68" spans="1:4">
      <c r="A68" s="40" t="s">
        <v>54</v>
      </c>
      <c r="B68" s="51" t="s">
        <v>49</v>
      </c>
      <c r="C68" s="58">
        <v>7.77</v>
      </c>
      <c r="D68" s="37">
        <f t="shared" si="6"/>
        <v>101.00999999999999</v>
      </c>
    </row>
    <row r="69" spans="1:4" s="45" customFormat="1">
      <c r="A69" s="46" t="s">
        <v>55</v>
      </c>
      <c r="B69" s="59"/>
      <c r="C69" s="44">
        <f>SUM(C64:C68)</f>
        <v>76.929999999999993</v>
      </c>
      <c r="D69" s="44">
        <f t="shared" si="6"/>
        <v>1000.0899999999999</v>
      </c>
    </row>
    <row r="70" spans="1:4" ht="13.5" customHeight="1">
      <c r="A70" s="129"/>
      <c r="B70" s="129"/>
      <c r="C70" s="129"/>
      <c r="D70" s="129"/>
    </row>
    <row r="71" spans="1:4">
      <c r="A71" s="63"/>
      <c r="B71" s="130"/>
      <c r="C71" s="130"/>
      <c r="D71" s="130"/>
    </row>
    <row r="72" spans="1:4" ht="17.25" customHeight="1">
      <c r="A72" s="131"/>
      <c r="B72" s="131"/>
      <c r="C72" s="131"/>
      <c r="D72" s="131"/>
    </row>
    <row r="73" spans="1:4">
      <c r="A73" s="64" t="s">
        <v>114</v>
      </c>
      <c r="B73" s="33" t="s">
        <v>20</v>
      </c>
      <c r="C73" s="34" t="str">
        <f>C63</f>
        <v>POR POSTO MENSAL</v>
      </c>
      <c r="D73" s="34" t="str">
        <f>D63</f>
        <v>POR 13 POSTOS</v>
      </c>
    </row>
    <row r="74" spans="1:4" s="68" customFormat="1" ht="16.2">
      <c r="A74" s="65" t="s">
        <v>56</v>
      </c>
      <c r="B74" s="66" t="s">
        <v>49</v>
      </c>
      <c r="C74" s="67">
        <f>C60</f>
        <v>4387.6019999999999</v>
      </c>
      <c r="D74" s="67">
        <f>C74*B12</f>
        <v>57038.826000000001</v>
      </c>
    </row>
    <row r="75" spans="1:4" s="68" customFormat="1" ht="15.75" customHeight="1">
      <c r="A75" s="69" t="s">
        <v>75</v>
      </c>
      <c r="B75" s="70" t="s">
        <v>49</v>
      </c>
      <c r="C75" s="67">
        <f>C69</f>
        <v>76.929999999999993</v>
      </c>
      <c r="D75" s="67">
        <f>C75*B12</f>
        <v>1000.0899999999999</v>
      </c>
    </row>
    <row r="76" spans="1:4" s="68" customFormat="1" ht="15.75" customHeight="1">
      <c r="A76" s="132"/>
      <c r="B76" s="132"/>
      <c r="C76" s="132"/>
      <c r="D76" s="132"/>
    </row>
    <row r="77" spans="1:4" s="73" customFormat="1" ht="16.8">
      <c r="A77" s="133" t="s">
        <v>115</v>
      </c>
      <c r="B77" s="133"/>
      <c r="C77" s="71">
        <f>SUM(C74:C75)</f>
        <v>4464.5320000000002</v>
      </c>
      <c r="D77" s="72">
        <f>C77*B12</f>
        <v>58038.916000000005</v>
      </c>
    </row>
    <row r="78" spans="1:4" s="73" customFormat="1" ht="16.8">
      <c r="A78" s="124"/>
      <c r="B78" s="124"/>
      <c r="C78" s="124"/>
      <c r="D78" s="124"/>
    </row>
    <row r="79" spans="1:4" ht="13.5" customHeight="1">
      <c r="A79" s="74"/>
      <c r="B79" s="75"/>
      <c r="C79" s="75"/>
      <c r="D79" s="76"/>
    </row>
    <row r="80" spans="1:4" ht="16.2">
      <c r="A80" s="77" t="s">
        <v>113</v>
      </c>
      <c r="B80" s="78"/>
      <c r="C80" s="34" t="s">
        <v>108</v>
      </c>
      <c r="D80" s="34" t="s">
        <v>138</v>
      </c>
    </row>
    <row r="81" spans="1:4" s="82" customFormat="1" ht="16.2">
      <c r="A81" s="79" t="s">
        <v>57</v>
      </c>
      <c r="B81" s="80">
        <v>12</v>
      </c>
      <c r="C81" s="81">
        <f>C77*12</f>
        <v>53574.384000000005</v>
      </c>
      <c r="D81" s="81">
        <f>D77*12</f>
        <v>696466.99200000009</v>
      </c>
    </row>
  </sheetData>
  <customSheetViews>
    <customSheetView guid="{461F8A0A-C29B-483D-910F-93FC5302E5D9}" scale="85" showGridLines="0" topLeftCell="A46">
      <selection activeCell="D90" sqref="D90"/>
      <pageMargins left="0.7" right="0.39374999999999999" top="0.70833333333333337" bottom="0.39374999999999999" header="0.35416666666666669" footer="0.51180555555555551"/>
      <printOptions horizontalCentered="1"/>
      <pageSetup paperSize="9" scale="74" firstPageNumber="0" orientation="portrait" horizontalDpi="300" verticalDpi="300"/>
      <headerFooter alignWithMargins="0">
        <oddHeader>&amp;R&amp;P</oddHeader>
      </headerFooter>
    </customSheetView>
    <customSheetView guid="{4B39978F-C1D9-4D15-B3CB-C4C71337D1CF}" scale="85" showGridLines="0" topLeftCell="A46">
      <selection activeCell="D90" sqref="D90"/>
      <pageMargins left="0.7" right="0.39374999999999999" top="0.70833333333333337" bottom="0.39374999999999999" header="0.35416666666666669" footer="0.51180555555555551"/>
      <printOptions horizontalCentered="1"/>
      <pageSetup paperSize="9" scale="74" firstPageNumber="0" orientation="portrait" horizontalDpi="300" verticalDpi="300"/>
      <headerFooter alignWithMargins="0">
        <oddHeader>&amp;R&amp;P</oddHeader>
      </headerFooter>
    </customSheetView>
  </customSheetViews>
  <mergeCells count="24">
    <mergeCell ref="C17:D17"/>
    <mergeCell ref="A1:C1"/>
    <mergeCell ref="A2:D2"/>
    <mergeCell ref="C7:D7"/>
    <mergeCell ref="C8:D8"/>
    <mergeCell ref="C9:D9"/>
    <mergeCell ref="C10:D10"/>
    <mergeCell ref="C11:D11"/>
    <mergeCell ref="C12:D12"/>
    <mergeCell ref="C13:D13"/>
    <mergeCell ref="A14:D14"/>
    <mergeCell ref="C16:D16"/>
    <mergeCell ref="A78:D78"/>
    <mergeCell ref="C18:D18"/>
    <mergeCell ref="C19:D19"/>
    <mergeCell ref="C20:D20"/>
    <mergeCell ref="C21:D21"/>
    <mergeCell ref="A61:D61"/>
    <mergeCell ref="A62:D62"/>
    <mergeCell ref="A70:D70"/>
    <mergeCell ref="B71:D71"/>
    <mergeCell ref="A72:D72"/>
    <mergeCell ref="A76:D76"/>
    <mergeCell ref="A77:B77"/>
  </mergeCells>
  <printOptions horizontalCentered="1"/>
  <pageMargins left="0.7" right="0.39374999999999999" top="0.70833333333333337" bottom="0.39374999999999999" header="0.35416666666666669" footer="0.51180555555555551"/>
  <pageSetup paperSize="9" scale="74" firstPageNumber="0" orientation="landscape" verticalDpi="30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6"/>
  <dimension ref="A1:I28"/>
  <sheetViews>
    <sheetView showGridLines="0" tabSelected="1" zoomScale="70" zoomScaleNormal="70" zoomScaleSheetLayoutView="115" workbookViewId="0">
      <selection sqref="A1:I1"/>
    </sheetView>
  </sheetViews>
  <sheetFormatPr defaultColWidth="11.5546875" defaultRowHeight="13.2"/>
  <cols>
    <col min="1" max="1" width="6.33203125" bestFit="1" customWidth="1"/>
    <col min="2" max="2" width="52.44140625" customWidth="1"/>
    <col min="3" max="3" width="9.33203125" bestFit="1" customWidth="1"/>
    <col min="4" max="4" width="19" bestFit="1" customWidth="1"/>
    <col min="5" max="5" width="22.5546875" customWidth="1"/>
    <col min="6" max="6" width="27.109375" customWidth="1"/>
    <col min="7" max="7" width="23.109375" customWidth="1"/>
    <col min="8" max="8" width="28.33203125" customWidth="1"/>
    <col min="9" max="9" width="22.6640625" customWidth="1"/>
  </cols>
  <sheetData>
    <row r="1" spans="1:9" ht="15.6">
      <c r="A1" s="146" t="s">
        <v>59</v>
      </c>
      <c r="B1" s="146"/>
      <c r="C1" s="146"/>
      <c r="D1" s="146"/>
      <c r="E1" s="146"/>
      <c r="F1" s="146"/>
      <c r="G1" s="146"/>
      <c r="H1" s="146"/>
      <c r="I1" s="146"/>
    </row>
    <row r="2" spans="1:9" ht="15.6">
      <c r="A2" s="86"/>
      <c r="B2" s="86"/>
      <c r="C2" s="86"/>
      <c r="D2" s="86"/>
      <c r="E2" s="86"/>
      <c r="F2" s="86"/>
      <c r="G2" s="86"/>
      <c r="H2" s="86"/>
      <c r="I2" s="86"/>
    </row>
    <row r="3" spans="1:9" ht="16.2" thickBot="1">
      <c r="A3" s="86"/>
      <c r="B3" s="86"/>
      <c r="C3" s="86"/>
      <c r="D3" s="86"/>
      <c r="E3" s="86"/>
      <c r="F3" s="86"/>
      <c r="G3" s="86"/>
      <c r="H3" s="86"/>
      <c r="I3" s="86"/>
    </row>
    <row r="4" spans="1:9" ht="22.8">
      <c r="A4" s="147" t="s">
        <v>60</v>
      </c>
      <c r="B4" s="148"/>
      <c r="C4" s="87" t="s">
        <v>61</v>
      </c>
      <c r="D4" s="88" t="s">
        <v>2</v>
      </c>
      <c r="E4" s="108"/>
      <c r="F4" s="108"/>
      <c r="G4" s="108"/>
      <c r="H4" s="86"/>
      <c r="I4" s="86"/>
    </row>
    <row r="5" spans="1:9" ht="23.4" thickBot="1">
      <c r="A5" s="149"/>
      <c r="B5" s="150"/>
      <c r="C5" s="89"/>
      <c r="D5" s="90" t="s">
        <v>3</v>
      </c>
      <c r="E5" s="108"/>
      <c r="F5" s="108"/>
      <c r="G5" s="108"/>
      <c r="H5" s="86"/>
      <c r="I5" s="86" t="s">
        <v>62</v>
      </c>
    </row>
    <row r="6" spans="1:9" ht="15.6">
      <c r="A6" s="86"/>
      <c r="B6" s="86"/>
      <c r="C6" s="86"/>
      <c r="D6" s="86"/>
      <c r="E6" s="86"/>
      <c r="F6" s="86"/>
      <c r="G6" s="86"/>
      <c r="H6" s="86"/>
      <c r="I6" s="86"/>
    </row>
    <row r="7" spans="1:9" ht="15.6">
      <c r="A7" s="86"/>
      <c r="B7" s="86"/>
      <c r="C7" s="86"/>
      <c r="D7" s="86"/>
      <c r="E7" s="86"/>
      <c r="F7" s="86"/>
      <c r="G7" s="86"/>
      <c r="H7" s="86"/>
      <c r="I7" s="86"/>
    </row>
    <row r="8" spans="1:9" ht="15.6">
      <c r="A8" s="151" t="s">
        <v>63</v>
      </c>
      <c r="B8" s="151"/>
      <c r="C8" s="151"/>
      <c r="D8" s="151"/>
      <c r="E8" s="151"/>
      <c r="F8" s="151"/>
      <c r="G8" s="151"/>
      <c r="H8" s="151"/>
      <c r="I8" s="151"/>
    </row>
    <row r="9" spans="1:9" s="95" customFormat="1" ht="13.8">
      <c r="A9" s="91" t="s">
        <v>64</v>
      </c>
      <c r="B9" s="92" t="s">
        <v>65</v>
      </c>
      <c r="C9" s="92" t="s">
        <v>78</v>
      </c>
      <c r="D9" s="93" t="s">
        <v>66</v>
      </c>
      <c r="E9" s="93" t="s">
        <v>79</v>
      </c>
      <c r="F9" s="93" t="s">
        <v>82</v>
      </c>
      <c r="G9" s="93" t="s">
        <v>81</v>
      </c>
      <c r="H9" s="93" t="s">
        <v>83</v>
      </c>
      <c r="I9" s="94" t="s">
        <v>67</v>
      </c>
    </row>
    <row r="10" spans="1:9" s="95" customFormat="1" ht="13.8">
      <c r="A10" s="96">
        <v>1</v>
      </c>
      <c r="B10" s="97" t="str">
        <f>'LIMPEZA URBANA'!C17</f>
        <v>AUXILIAR DE LIMPEZA URBANA C.B.O: 5142</v>
      </c>
      <c r="C10" s="98">
        <f>'LIMPEZA URBANA'!$B$12</f>
        <v>13</v>
      </c>
      <c r="D10" s="99">
        <f>'LIMPEZA URBANA'!C77</f>
        <v>4464.5320000000002</v>
      </c>
      <c r="E10" s="99">
        <f>D10/'LIMPEZA URBANA'!B11</f>
        <v>25.366659090909092</v>
      </c>
      <c r="F10" s="99">
        <f>C10*E10*176</f>
        <v>58038.915999999997</v>
      </c>
      <c r="G10" s="99">
        <f>E10+(E10*$D26)</f>
        <v>31.83568029667536</v>
      </c>
      <c r="H10" s="100">
        <f>C10*G10*176</f>
        <v>72840.036518793218</v>
      </c>
      <c r="I10" s="101">
        <f>H10*12</f>
        <v>874080.43822551868</v>
      </c>
    </row>
    <row r="11" spans="1:9" s="95" customFormat="1" ht="13.8">
      <c r="A11" s="96">
        <v>2</v>
      </c>
      <c r="B11" s="97" t="str">
        <f>PEDREIRO!C17</f>
        <v>PEDREIRO</v>
      </c>
      <c r="C11" s="98">
        <f>PEDREIRO!B12</f>
        <v>2</v>
      </c>
      <c r="D11" s="99">
        <f>PEDREIRO!C82</f>
        <v>4538.46</v>
      </c>
      <c r="E11" s="99">
        <f>D11/PEDREIRO!B11</f>
        <v>25.786704545454544</v>
      </c>
      <c r="F11" s="99">
        <f t="shared" ref="F11" si="0">C11*E11*176</f>
        <v>9076.92</v>
      </c>
      <c r="G11" s="99">
        <f>E11+(E11*$D26)</f>
        <v>32.362846004743439</v>
      </c>
      <c r="H11" s="100">
        <f t="shared" ref="H11" si="1">C11*G11*176</f>
        <v>11391.721793669691</v>
      </c>
      <c r="I11" s="101">
        <f>H11*12</f>
        <v>136700.66152403629</v>
      </c>
    </row>
    <row r="12" spans="1:9" ht="16.2" thickBot="1">
      <c r="A12" s="152" t="s">
        <v>68</v>
      </c>
      <c r="B12" s="152"/>
      <c r="C12" s="102">
        <f t="shared" ref="C12:I12" si="2">SUM(C10:C11)</f>
        <v>15</v>
      </c>
      <c r="D12" s="103">
        <f t="shared" si="2"/>
        <v>9002.9920000000002</v>
      </c>
      <c r="E12" s="109">
        <f t="shared" si="2"/>
        <v>51.153363636363636</v>
      </c>
      <c r="F12" s="111">
        <f t="shared" si="2"/>
        <v>67115.835999999996</v>
      </c>
      <c r="G12" s="110">
        <f t="shared" si="2"/>
        <v>64.198526301418795</v>
      </c>
      <c r="H12" s="103">
        <f t="shared" si="2"/>
        <v>84231.758312462916</v>
      </c>
      <c r="I12" s="104">
        <f t="shared" si="2"/>
        <v>1010781.099749555</v>
      </c>
    </row>
    <row r="13" spans="1:9" ht="13.8" thickBot="1">
      <c r="A13" s="105"/>
    </row>
    <row r="14" spans="1:9" ht="14.4" thickBot="1">
      <c r="A14" s="105"/>
      <c r="B14" s="153" t="s">
        <v>85</v>
      </c>
      <c r="C14" s="154"/>
      <c r="D14" s="155"/>
    </row>
    <row r="15" spans="1:9" ht="14.4" thickBot="1">
      <c r="A15" s="105"/>
      <c r="B15" s="143"/>
      <c r="C15" s="144"/>
      <c r="D15" s="145"/>
    </row>
    <row r="16" spans="1:9" ht="14.4" thickBot="1">
      <c r="A16" s="105"/>
      <c r="B16" s="112" t="s">
        <v>86</v>
      </c>
      <c r="C16" s="119" t="s">
        <v>87</v>
      </c>
      <c r="D16" s="113"/>
    </row>
    <row r="17" spans="1:9" ht="14.4" thickBot="1">
      <c r="A17" s="105"/>
      <c r="B17" s="114" t="s">
        <v>88</v>
      </c>
      <c r="C17" s="118" t="s">
        <v>89</v>
      </c>
      <c r="D17" s="117">
        <v>1.55E-2</v>
      </c>
    </row>
    <row r="18" spans="1:9" ht="14.4" thickBot="1">
      <c r="A18" s="105"/>
      <c r="B18" s="114" t="s">
        <v>90</v>
      </c>
      <c r="C18" s="118" t="s">
        <v>91</v>
      </c>
      <c r="D18" s="117">
        <v>8.0000000000000002E-3</v>
      </c>
    </row>
    <row r="19" spans="1:9" ht="14.4" thickBot="1">
      <c r="A19" s="105"/>
      <c r="B19" s="114" t="s">
        <v>92</v>
      </c>
      <c r="C19" s="118" t="s">
        <v>93</v>
      </c>
      <c r="D19" s="117">
        <v>9.7000000000000003E-3</v>
      </c>
    </row>
    <row r="20" spans="1:9" ht="14.4" thickBot="1">
      <c r="A20" s="105"/>
      <c r="B20" s="114" t="s">
        <v>94</v>
      </c>
      <c r="C20" s="118" t="s">
        <v>95</v>
      </c>
      <c r="D20" s="117">
        <v>5.8999999999999999E-3</v>
      </c>
    </row>
    <row r="21" spans="1:9" ht="14.4" thickBot="1">
      <c r="A21" s="105"/>
      <c r="B21" s="114" t="s">
        <v>96</v>
      </c>
      <c r="C21" s="118" t="s">
        <v>97</v>
      </c>
      <c r="D21" s="117">
        <v>8.5000000000000006E-2</v>
      </c>
      <c r="E21" s="105"/>
    </row>
    <row r="22" spans="1:9" ht="14.4" thickBot="1">
      <c r="A22" s="105"/>
      <c r="B22" s="114" t="s">
        <v>98</v>
      </c>
      <c r="C22" s="118" t="s">
        <v>99</v>
      </c>
      <c r="D22" s="117">
        <v>3.6499999999999998E-2</v>
      </c>
      <c r="E22" s="105"/>
    </row>
    <row r="23" spans="1:9" ht="14.4" thickBot="1">
      <c r="A23" s="105"/>
      <c r="B23" s="114" t="s">
        <v>100</v>
      </c>
      <c r="C23" s="118" t="s">
        <v>101</v>
      </c>
      <c r="D23" s="115">
        <v>0.02</v>
      </c>
      <c r="E23" s="105"/>
      <c r="F23" s="141" t="s">
        <v>109</v>
      </c>
      <c r="G23" s="141"/>
    </row>
    <row r="24" spans="1:9" ht="36.6" customHeight="1" thickBot="1">
      <c r="A24" s="105"/>
      <c r="B24" s="120" t="s">
        <v>102</v>
      </c>
      <c r="C24" s="121" t="s">
        <v>103</v>
      </c>
      <c r="D24" s="122">
        <v>4.4999999999999998E-2</v>
      </c>
      <c r="E24" s="123"/>
      <c r="F24" s="142" t="s">
        <v>110</v>
      </c>
      <c r="G24" s="142"/>
    </row>
    <row r="25" spans="1:9" ht="14.4" thickBot="1">
      <c r="A25" s="105"/>
      <c r="B25" s="114" t="s">
        <v>105</v>
      </c>
      <c r="C25" s="118" t="s">
        <v>106</v>
      </c>
      <c r="D25" s="115">
        <v>0.16320000000000001</v>
      </c>
      <c r="E25" s="105"/>
      <c r="F25" s="105"/>
      <c r="G25" s="105"/>
    </row>
    <row r="26" spans="1:9" ht="14.4" thickBot="1">
      <c r="A26" s="105"/>
      <c r="B26" s="112" t="s">
        <v>104</v>
      </c>
      <c r="C26" s="119" t="s">
        <v>107</v>
      </c>
      <c r="D26" s="116">
        <f>(((1+D17+D18+D19)*(1+D20)*(1+D21))/(1-D22-D23-D24))-1</f>
        <v>0.25502062303839756</v>
      </c>
      <c r="E26" s="105"/>
      <c r="F26" s="105"/>
      <c r="G26" s="105"/>
    </row>
    <row r="27" spans="1:9" ht="13.8" thickBot="1">
      <c r="A27" s="106"/>
      <c r="B27" s="107"/>
      <c r="C27" s="107"/>
      <c r="D27" s="106"/>
      <c r="E27" s="106"/>
      <c r="F27" s="106"/>
      <c r="G27" s="106"/>
      <c r="H27" s="107"/>
      <c r="I27" s="107"/>
    </row>
    <row r="28" spans="1:9">
      <c r="A28" s="105"/>
      <c r="D28" s="105"/>
      <c r="E28" s="105"/>
      <c r="F28" s="105"/>
      <c r="G28" s="105"/>
    </row>
  </sheetData>
  <customSheetViews>
    <customSheetView guid="{461F8A0A-C29B-483D-910F-93FC5302E5D9}" scale="85" showGridLines="0" topLeftCell="A7">
      <selection activeCell="E9" sqref="E9"/>
      <pageMargins left="0.78749999999999998" right="0.78749999999999998" top="1.0527777777777778" bottom="1.0527777777777778" header="0.78749999999999998" footer="0.78749999999999998"/>
      <pageSetup paperSize="9" scale="61" firstPageNumber="0" orientation="portrait" horizontalDpi="300" verticalDpi="300"/>
      <headerFooter alignWithMargins="0">
        <oddHeader>&amp;C&amp;"Times New Roman,Normal"&amp;12&amp;A</oddHeader>
        <oddFooter>&amp;C&amp;"Times New Roman,Normal"&amp;12Página &amp;P</oddFooter>
      </headerFooter>
    </customSheetView>
    <customSheetView guid="{4B39978F-C1D9-4D15-B3CB-C4C71337D1CF}" scale="85" showGridLines="0" topLeftCell="A7">
      <selection activeCell="E9" sqref="E9"/>
      <pageMargins left="0.78749999999999998" right="0.78749999999999998" top="1.0527777777777778" bottom="1.0527777777777778" header="0.78749999999999998" footer="0.78749999999999998"/>
      <pageSetup paperSize="9" scale="61" firstPageNumber="0" orientation="portrait" horizontalDpi="300" verticalDpi="300"/>
      <headerFooter alignWithMargins="0">
        <oddHeader>&amp;C&amp;"Times New Roman,Normal"&amp;12&amp;A</oddHeader>
        <oddFooter>&amp;C&amp;"Times New Roman,Normal"&amp;12Página &amp;P</oddFooter>
      </headerFooter>
    </customSheetView>
  </customSheetViews>
  <mergeCells count="8">
    <mergeCell ref="F23:G23"/>
    <mergeCell ref="F24:G24"/>
    <mergeCell ref="B15:D15"/>
    <mergeCell ref="A1:I1"/>
    <mergeCell ref="A4:B5"/>
    <mergeCell ref="A8:I8"/>
    <mergeCell ref="A12:B12"/>
    <mergeCell ref="B14:D14"/>
  </mergeCells>
  <pageMargins left="0.78749999999999998" right="0.78749999999999998" top="1.0527777777777778" bottom="1.0527777777777778" header="0.78749999999999998" footer="0.78749999999999998"/>
  <pageSetup paperSize="9" scale="61" firstPageNumber="0" orientation="landscape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PEDREIRO</vt:lpstr>
      <vt:lpstr>LIMPEZA URBANA</vt:lpstr>
      <vt:lpstr>RESUMO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Jeferson Poncio</cp:lastModifiedBy>
  <cp:lastPrinted>2021-09-17T14:22:08Z</cp:lastPrinted>
  <dcterms:created xsi:type="dcterms:W3CDTF">2019-03-15T18:53:40Z</dcterms:created>
  <dcterms:modified xsi:type="dcterms:W3CDTF">2023-09-14T20:06:05Z</dcterms:modified>
</cp:coreProperties>
</file>